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autoCompressPictures="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7"/>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J5" i="8"/>
  <c r="V6" i="5"/>
  <c r="J6" i="5"/>
  <c r="E6" i="5"/>
  <c r="S6"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V5" i="5"/>
  <c r="J5" i="5"/>
  <c r="E5" i="5"/>
  <c r="S5" i="5"/>
  <c r="T5" i="5"/>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5" i="5"/>
  <c r="K5"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8" i="5"/>
  <c r="R18" i="5"/>
  <c r="J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J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I6"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X5"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F5"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6"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I5" i="5"/>
  <c r="R17" i="5"/>
  <c r="F18"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7"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18"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1" i="5"/>
  <c r="AB9" i="5"/>
  <c r="AB10" i="5"/>
  <c r="AB13" i="5"/>
  <c r="AB16" i="5"/>
  <c r="AB15" i="5"/>
  <c r="AB8" i="5"/>
  <c r="AB12" i="5"/>
  <c r="AB14"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5" i="5"/>
  <c r="I15" i="5"/>
  <c r="F15" i="5"/>
  <c r="I10" i="5"/>
  <c r="F10" i="5"/>
  <c r="R10" i="5"/>
  <c r="R12" i="5"/>
  <c r="I12" i="5"/>
  <c r="F12" i="5"/>
  <c r="R7" i="5"/>
  <c r="F7" i="5"/>
  <c r="I7" i="5"/>
  <c r="I16" i="5"/>
  <c r="R16" i="5"/>
  <c r="F16" i="5"/>
  <c r="G66" i="6"/>
  <c r="H66" i="6"/>
  <c r="C66" i="6"/>
  <c r="G67" i="6"/>
  <c r="H67" i="6"/>
  <c r="D67" i="6"/>
  <c r="G65" i="6"/>
  <c r="H65" i="6"/>
  <c r="C65" i="6"/>
  <c r="I11" i="5"/>
  <c r="R11" i="5"/>
  <c r="F11" i="5"/>
  <c r="I9" i="5"/>
  <c r="R9" i="5"/>
  <c r="F9" i="5"/>
  <c r="R8" i="5"/>
  <c r="I8" i="5"/>
  <c r="F8" i="5"/>
  <c r="I14" i="5"/>
  <c r="F14" i="5"/>
  <c r="R14" i="5"/>
  <c r="I13" i="5"/>
  <c r="R13" i="5"/>
  <c r="F13" i="5"/>
  <c r="C49" i="6"/>
  <c r="C47" i="6"/>
  <c r="C60" i="6"/>
  <c r="D60" i="6"/>
  <c r="D58" i="6"/>
  <c r="C58" i="6"/>
  <c r="D63" i="6"/>
  <c r="C63" i="6"/>
  <c r="C62" i="6"/>
  <c r="D62" i="6"/>
  <c r="C54" i="6"/>
  <c r="D54" i="6"/>
  <c r="D57" i="6"/>
  <c r="C57" i="6"/>
  <c r="F56" i="6"/>
  <c r="H56" i="6"/>
  <c r="H55" i="6"/>
  <c r="D59" i="6"/>
  <c r="C59" i="6"/>
  <c r="C68" i="6"/>
  <c r="X12" i="5"/>
  <c r="X10" i="5"/>
  <c r="D65" i="6"/>
  <c r="X9" i="5"/>
  <c r="X11" i="5"/>
  <c r="X13" i="5"/>
  <c r="X16" i="5"/>
  <c r="D66" i="6"/>
  <c r="C67" i="6"/>
  <c r="X14" i="5"/>
  <c r="X8" i="5"/>
  <c r="X7" i="5"/>
  <c r="H69" i="6"/>
  <c r="H70" i="6"/>
  <c r="D2" i="6"/>
  <c r="X15" i="5"/>
  <c r="D55" i="6"/>
  <c r="C55" i="6"/>
  <c r="D56" i="6"/>
  <c r="C56"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<sst xmlns="http://schemas.openxmlformats.org/spreadsheetml/2006/main" count="22428" uniqueCount="15879">
  <si>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</si>
  <si>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</si>
  <si>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</si>
  <si>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</si>
  <si>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</si>
  <si>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</si>
  <si>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</si>
  <si>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</si>
  <si>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</si>
  <si>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</si>
  <si>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</si>
  <si>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</si>
  <si>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</si>
  <si>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</si>
  <si>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</si>
  <si>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</si>
  <si>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</si>
  <si>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</si>
  <si>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</si>
  <si>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</si>
  <si>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</si>
  <si>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</si>
  <si>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</si>
  <si>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</si>
  <si>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</si>
  <si>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</si>
  <si>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</si>
  <si>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</si>
  <si>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</si>
  <si>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</si>
  <si>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</si>
  <si>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</si>
  <si>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</si>
  <si>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</si>
  <si>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</si>
  <si>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</si>
  <si>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</si>
  <si>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</si>
  <si>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</si>
  <si>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</si>
  <si>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</si>
  <si>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</si>
  <si>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</si>
  <si>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</si>
  <si>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</si>
  <si>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</si>
  <si>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</si>
  <si>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</si>
  <si>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</si>
  <si>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</si>
  <si>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</si>
  <si>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</si>
  <si>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</si>
  <si>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</si>
  <si>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</si>
  <si>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</si>
  <si>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</si>
  <si>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</si>
  <si>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</si>
  <si>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</si>
  <si>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</si>
  <si>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</si>
  <si>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</si>
  <si>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</si>
  <si>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</si>
  <si>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</si>
  <si>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</si>
  <si>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</si>
  <si>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</si>
  <si>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</si>
  <si>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</si>
  <si>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</si>
  <si>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</si>
  <si>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</si>
  <si>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</si>
  <si>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</si>
  <si>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</si>
  <si>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</si>
  <si>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</si>
  <si>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</si>
  <si>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</si>
  <si>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</si>
  <si>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</si>
  <si>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</si>
  <si>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</si>
  <si>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</si>
  <si>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</si>
  <si>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</si>
  <si>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</si>
  <si>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</si>
  <si>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</si>
  <si>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</si>
  <si>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</si>
  <si>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</si>
  <si>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</si>
  <si>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</si>
  <si>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</si>
  <si>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</si>
  <si>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</si>
  <si>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</si>
  <si>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</si>
  <si>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</si>
  <si>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</si>
  <si>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</si>
  <si>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</si>
  <si>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</si>
  <si>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</si>
  <si>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</si>
  <si>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</si>
  <si>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</si>
  <si>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</si>
  <si>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</si>
  <si>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</si>
  <si>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</si>
  <si>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</si>
  <si>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</si>
  <si>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</si>
  <si>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</si>
  <si>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</si>
  <si>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</si>
  <si>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</si>
  <si>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</si>
  <si>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</si>
  <si>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</si>
  <si>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</si>
  <si>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</si>
  <si>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</si>
  <si>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</si>
  <si>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</si>
  <si>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</si>
  <si>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</si>
  <si>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</si>
  <si>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</si>
  <si>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</si>
  <si>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</si>
  <si>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</si>
  <si>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</si>
  <si>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</si>
  <si>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</si>
  <si>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</si>
  <si>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</si>
  <si>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</si>
  <si>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</si>
  <si>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</si>
  <si>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</si>
  <si>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</si>
  <si>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</si>
  <si>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</si>
  <si>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</si>
  <si>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</si>
  <si>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</si>
  <si>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</si>
  <si>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</si>
  <si>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</si>
  <si>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</si>
  <si>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</si>
  <si>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</si>
  <si>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</si>
  <si>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</si>
  <si>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</si>
  <si>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</si>
  <si>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</si>
  <si>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</si>
  <si>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</si>
  <si>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</si>
  <si>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</si>
  <si>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</si>
  <si>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</si>
  <si>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</si>
  <si>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</si>
  <si>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</si>
  <si>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</si>
  <si>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</si>
  <si>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</si>
  <si>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</si>
  <si>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</si>
  <si>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</si>
  <si>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</si>
  <si>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</si>
  <si>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</si>
  <si>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</si>
  <si>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</si>
  <si>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</si>
  <si>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</si>
  <si>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</si>
  <si>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</si>
  <si>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</si>
  <si>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</si>
  <si>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</si>
  <si>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</si>
  <si>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</si>
  <si>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</si>
  <si>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</si>
  <si>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</si>
  <si>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</si>
  <si>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</si>
  <si>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</si>
  <si>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</si>
  <si>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</si>
  <si>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</si>
  <si>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</si>
  <si>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</si>
  <si>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</si>
  <si>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</si>
  <si>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</si>
  <si>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</si>
  <si>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</si>
  <si>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</si>
  <si>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</si>
  <si>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</si>
  <si>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</si>
  <si>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</si>
  <si>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</si>
  <si>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</si>
  <si>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</si>
  <si>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</si>
  <si>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</si>
  <si>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</si>
  <si>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</si>
  <si>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</si>
  <si>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</si>
  <si>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</si>
  <si>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</si>
  <si>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</si>
  <si>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</si>
  <si>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</si>
  <si>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</si>
  <si>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</si>
  <si>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</si>
  <si>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</si>
  <si>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</si>
  <si>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</si>
  <si>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</si>
  <si>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</si>
  <si>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</si>
  <si>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</si>
  <si>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</si>
  <si>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</si>
  <si>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</si>
  <si>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</si>
  <si>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</si>
  <si>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</si>
  <si>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</si>
  <si>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</si>
  <si>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</si>
  <si>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</si>
  <si>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</si>
  <si>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</si>
  <si>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</si>
  <si>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</si>
  <si>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</si>
  <si>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</si>
  <si>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</si>
  <si>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</si>
  <si>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</si>
  <si>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</si>
  <si>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</si>
  <si>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</si>
  <si>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</si>
  <si>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</si>
  <si>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</si>
  <si>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</si>
  <si>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</si>
  <si>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</si>
  <si>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</si>
  <si>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</si>
  <si>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</si>
  <si>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</si>
  <si>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</si>
  <si>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</si>
  <si>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</si>
  <si>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</si>
  <si>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</si>
  <si>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</si>
  <si>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</si>
  <si>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</si>
  <si>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</si>
  <si>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</si>
  <si>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</si>
  <si>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</si>
  <si>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</si>
  <si>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</si>
  <si>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</si>
  <si>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</si>
  <si>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</si>
  <si>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</si>
  <si>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</si>
  <si>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</si>
  <si>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</si>
  <si>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</si>
  <si>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</si>
  <si>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</si>
  <si>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</si>
  <si>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</si>
  <si>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</si>
  <si>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</si>
  <si>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</si>
  <si>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</si>
  <si>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</si>
  <si>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</si>
  <si>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</si>
  <si>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</si>
  <si>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</si>
  <si>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</si>
  <si>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</si>
  <si>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</si>
  <si>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</si>
  <si>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</si>
  <si>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</si>
  <si>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</si>
  <si>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</si>
  <si>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</si>
  <si>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</si>
  <si>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</si>
  <si>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</si>
  <si>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</si>
  <si>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</si>
  <si>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</si>
  <si>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</si>
  <si>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</si>
  <si>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</si>
  <si>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</si>
  <si>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</si>
  <si>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</si>
  <si>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</si>
  <si>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</si>
  <si>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</si>
  <si>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</si>
  <si>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</si>
  <si>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</si>
  <si>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</si>
  <si>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</si>
  <si>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</si>
  <si>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</si>
  <si>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</si>
  <si>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</si>
  <si>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</si>
  <si>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</si>
  <si>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</si>
  <si>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</si>
  <si>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</si>
  <si>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</si>
  <si>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</si>
  <si>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</si>
  <si>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</si>
  <si>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</si>
  <si>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</si>
  <si>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</si>
  <si>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</si>
  <si>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</si>
  <si>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</si>
  <si>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</si>
  <si>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</si>
  <si>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</si>
  <si>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</si>
  <si>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</si>
  <si>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</si>
  <si>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</si>
  <si>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</si>
  <si>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</si>
  <si>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</si>
  <si>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</si>
  <si>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</si>
  <si>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</si>
  <si>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</si>
  <si>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</si>
  <si>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</si>
  <si>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</si>
  <si>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</si>
  <si>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</si>
  <si>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</si>
  <si>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</si>
  <si>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</si>
  <si>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</si>
  <si>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</si>
  <si>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</si>
  <si>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</si>
  <si>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</si>
  <si>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</si>
  <si>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</si>
  <si>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</si>
  <si>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</si>
  <si>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</si>
  <si>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</si>
  <si>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</si>
  <si>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</si>
  <si>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</si>
  <si>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</si>
  <si>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</si>
  <si>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</si>
  <si>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</si>
  <si>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</si>
  <si>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</si>
  <si>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</si>
  <si>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</si>
  <si>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</si>
  <si>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</si>
  <si>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</si>
  <si>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</si>
  <si>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</si>
  <si>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</si>
  <si>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</si>
  <si>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</si>
  <si>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</si>
  <si>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</si>
  <si>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</si>
  <si>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</si>
  <si>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</si>
  <si>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</si>
  <si>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</si>
  <si>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</si>
  <si>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</si>
  <si>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</si>
  <si>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</si>
  <si>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</si>
  <si>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</si>
  <si>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</si>
  <si>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</si>
  <si>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</si>
  <si>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</si>
  <si>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</si>
  <si>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</si>
  <si>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</si>
  <si>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</si>
  <si>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</si>
  <si>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</si>
  <si>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</si>
  <si>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</si>
  <si>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</si>
  <si>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</si>
  <si>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</si>
  <si>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</si>
  <si>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</si>
  <si>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</si>
  <si>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</si>
  <si>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</si>
  <si>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</si>
  <si>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</si>
  <si>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</si>
  <si>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</si>
  <si>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</si>
  <si>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</si>
  <si>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</si>
  <si>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</si>
  <si>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</si>
  <si>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</si>
  <si>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</si>
  <si>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</si>
  <si>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</si>
  <si>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</si>
  <si>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</si>
  <si>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</si>
  <si>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</si>
  <si>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</si>
  <si>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</si>
  <si>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</si>
  <si>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</si>
  <si>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</si>
  <si>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</si>
  <si>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</si>
  <si>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</si>
  <si>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</si>
  <si>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</si>
  <si>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</si>
  <si>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</si>
  <si>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</si>
  <si>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</si>
  <si>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</si>
  <si>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</si>
  <si>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</si>
  <si>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</si>
  <si>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</si>
  <si>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</si>
  <si>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</si>
  <si>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</si>
  <si>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</si>
  <si>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</si>
  <si>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</si>
  <si>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</si>
  <si>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</si>
  <si>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</si>
  <si>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</si>
  <si>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</si>
  <si>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</si>
  <si>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</si>
  <si>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</si>
  <si>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</si>
  <si>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</si>
  <si>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</si>
  <si>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</si>
  <si>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</si>
  <si>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</si>
  <si>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</si>
  <si>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</si>
  <si>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</si>
  <si>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</si>
  <si>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</si>
  <si>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</si>
  <si>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</si>
  <si>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</si>
  <si>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</si>
  <si>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</si>
  <si>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</si>
  <si>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</si>
  <si>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</si>
  <si>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</si>
  <si>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</si>
  <si>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</si>
  <si>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</si>
  <si>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</si>
  <si>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</si>
  <si>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</si>
  <si>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</si>
  <si>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</si>
  <si>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</si>
  <si>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</si>
  <si>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</si>
  <si>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</si>
  <si>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</si>
  <si>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</si>
  <si>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</si>
  <si>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</si>
  <si>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</si>
  <si>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</si>
  <si>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</si>
  <si>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</si>
  <si>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</si>
  <si>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</si>
  <si>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</si>
  <si>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</si>
  <si>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</si>
  <si>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</si>
  <si>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</si>
  <si>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</si>
  <si>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</si>
  <si>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</si>
  <si>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</si>
  <si>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</si>
  <si>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</si>
  <si>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</si>
  <si>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</si>
  <si>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</si>
  <si>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</si>
  <si>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</si>
  <si>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</si>
  <si>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</si>
  <si>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</si>
  <si>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</si>
  <si>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</si>
  <si>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</si>
  <si>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</si>
  <si>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</si>
  <si>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</si>
  <si>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</si>
  <si>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</si>
  <si>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</si>
  <si>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</si>
  <si>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</si>
  <si>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</si>
  <si>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</si>
  <si>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</si>
  <si>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</si>
  <si>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</si>
  <si>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</si>
  <si>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</si>
  <si>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</si>
  <si>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</si>
  <si>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</si>
  <si>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</si>
  <si>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</si>
  <si>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</si>
  <si>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</si>
  <si>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</si>
  <si>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</si>
  <si>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</si>
  <si>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</si>
  <si>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</si>
  <si>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</si>
  <si>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</si>
  <si>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</si>
  <si>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</si>
  <si>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</si>
  <si>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</si>
  <si>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</si>
  <si>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</si>
  <si>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</si>
  <si>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</si>
  <si>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</si>
  <si>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</si>
  <si>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</si>
  <si>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</si>
  <si>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</si>
  <si>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</si>
  <si>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</si>
  <si>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</si>
  <si>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</si>
  <si>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</si>
  <si>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</si>
  <si>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</si>
  <si>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</si>
  <si>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</si>
  <si>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</si>
  <si>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</si>
  <si>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</si>
  <si>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</si>
  <si>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</si>
  <si>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</si>
  <si>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</si>
  <si>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</si>
  <si>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</si>
  <si>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</si>
  <si>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</si>
  <si>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</si>
  <si>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</si>
  <si>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</si>
  <si>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</si>
  <si>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</si>
  <si>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</si>
  <si>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</si>
  <si>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</si>
  <si>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</si>
  <si>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</si>
  <si>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</si>
  <si>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</si>
  <si>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</si>
  <si>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</si>
  <si>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</si>
  <si>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</si>
  <si>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</si>
  <si>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</si>
  <si>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</si>
  <si>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</si>
  <si>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</si>
  <si>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</si>
  <si>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</si>
  <si>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</si>
  <si>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</si>
  <si>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</si>
  <si>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</si>
  <si>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</si>
  <si>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</si>
  <si>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</si>
  <si>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</si>
  <si>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</si>
  <si>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</si>
  <si>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</si>
  <si>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</si>
  <si>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</si>
  <si>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</si>
  <si>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</si>
  <si>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</si>
  <si>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</si>
  <si>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</si>
  <si>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</si>
  <si>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</si>
  <si>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</si>
  <si>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</si>
  <si>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</si>
  <si>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</si>
  <si>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</si>
  <si>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</si>
  <si>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</si>
  <si>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</si>
  <si>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</si>
  <si>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</si>
  <si>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</si>
  <si>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</si>
  <si>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</si>
  <si>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</si>
  <si>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</si>
  <si>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</si>
  <si>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</si>
  <si>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</si>
  <si>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</si>
  <si>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</si>
  <si>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</si>
  <si>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</si>
  <si>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</si>
  <si>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</si>
  <si>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</si>
  <si>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</si>
  <si>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</si>
  <si>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</si>
  <si>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</si>
  <si>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</si>
  <si>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</si>
  <si>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</si>
  <si>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</si>
  <si>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</si>
  <si>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</si>
  <si>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</si>
  <si>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</si>
  <si>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</si>
  <si>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</si>
  <si>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</si>
  <si>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</si>
  <si>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</si>
  <si>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</si>
  <si>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</si>
  <si>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</si>
  <si>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</si>
  <si>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</si>
  <si>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</si>
  <si>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</si>
  <si>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</si>
  <si>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</si>
  <si>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</si>
  <si>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</si>
  <si>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</si>
  <si>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</si>
  <si>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</si>
  <si>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</si>
  <si>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</si>
  <si>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</si>
  <si>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</si>
  <si>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</si>
  <si>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</si>
  <si>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</si>
  <si>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</si>
  <si>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</si>
  <si>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</si>
  <si>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</si>
  <si>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</si>
  <si>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</si>
  <si>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</si>
  <si>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</si>
  <si>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</si>
  <si>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</si>
  <si>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</si>
  <si>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</si>
  <si>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</si>
  <si>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</si>
  <si>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</si>
  <si>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</si>
  <si>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</si>
  <si>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</si>
  <si>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</si>
  <si>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</si>
  <si>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</si>
  <si>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</si>
  <si>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</si>
  <si>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</si>
  <si>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</si>
  <si>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</si>
  <si>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</si>
  <si>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</si>
  <si>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</si>
  <si>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</si>
  <si>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</si>
  <si>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</si>
  <si>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</si>
  <si>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</si>
  <si>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</si>
  <si>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</si>
  <si>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</si>
  <si>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</si>
  <si>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</si>
  <si>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</si>
  <si>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</si>
  <si>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</si>
  <si>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</si>
  <si>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</si>
  <si>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</si>
  <si>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</si>
  <si>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</si>
  <si>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</si>
  <si>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</si>
  <si>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</si>
  <si>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</si>
  <si>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</si>
  <si>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</si>
  <si>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</si>
  <si>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</si>
  <si>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</si>
  <si>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</si>
  <si>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</si>
  <si>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</si>
  <si>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</si>
  <si>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</si>
  <si>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</si>
  <si>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</si>
  <si>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</si>
  <si>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</si>
  <si>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</si>
  <si>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</si>
  <si>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</si>
  <si>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</si>
  <si>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</si>
  <si>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</si>
  <si>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</si>
  <si>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</si>
  <si>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</si>
  <si>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</si>
  <si>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</si>
  <si>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</si>
  <si>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</si>
  <si>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</si>
  <si>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</si>
  <si>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</si>
  <si>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</si>
  <si>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</si>
  <si>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</si>
  <si>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</si>
  <si>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</si>
  <si>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</si>
  <si>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</si>
  <si>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</si>
  <si>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</si>
  <si>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</si>
  <si>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</si>
  <si>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</si>
  <si>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</si>
  <si>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</si>
  <si>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</si>
  <si>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</si>
  <si>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</si>
  <si>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</si>
  <si>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</si>
  <si>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</si>
  <si>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</si>
  <si>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</si>
  <si>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</si>
  <si>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</si>
  <si>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</si>
  <si>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</si>
  <si>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</si>
  <si>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</si>
  <si>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</si>
  <si>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</si>
  <si>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</si>
  <si>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</si>
  <si>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</si>
  <si>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</si>
  <si>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</si>
  <si>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</si>
  <si>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</si>
  <si>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</si>
  <si>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</si>
  <si>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</si>
  <si>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</si>
  <si>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</si>
  <si>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</si>
  <si>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</si>
  <si>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</si>
  <si>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</si>
  <si>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</si>
  <si>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</si>
  <si>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</si>
  <si>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</si>
  <si>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</si>
  <si>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</si>
  <si>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</si>
  <si>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</si>
  <si>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</si>
  <si>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</si>
  <si>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</si>
  <si>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</si>
  <si>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</si>
  <si>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</si>
  <si>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</si>
  <si>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</si>
  <si>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</si>
  <si>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</si>
  <si>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</si>
  <si>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</si>
  <si>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</si>
  <si>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</si>
  <si>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</si>
  <si>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</si>
  <si>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</si>
  <si>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</si>
  <si>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</si>
  <si>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</si>
  <si>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</si>
  <si>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</si>
  <si>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</si>
  <si>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</si>
  <si>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</si>
  <si>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</si>
  <si>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</si>
  <si>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</si>
  <si>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</si>
  <si>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</si>
  <si>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</si>
  <si>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</si>
  <si>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</si>
  <si>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</si>
  <si>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</si>
  <si>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</si>
  <si>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</si>
  <si>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</si>
  <si>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</si>
  <si>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</si>
  <si>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</si>
  <si>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</si>
  <si>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</si>
  <si>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</si>
  <si>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</si>
  <si>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</si>
  <si>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</si>
  <si>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</si>
  <si>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</si>
  <si>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</si>
  <si>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</si>
  <si>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</si>
  <si>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</si>
  <si>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</si>
  <si>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</si>
  <si>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</si>
  <si>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</si>
  <si>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</si>
  <si>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</si>
  <si>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</si>
  <si>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</si>
  <si>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</si>
  <si>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</si>
  <si>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</si>
  <si>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</si>
  <si>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</si>
  <si>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</si>
  <si>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</si>
  <si>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</si>
  <si>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</si>
  <si>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</si>
  <si>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</si>
  <si>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</si>
  <si>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</si>
  <si>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</si>
  <si>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</si>
  <si>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</si>
  <si>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</si>
  <si>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</si>
  <si>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</si>
  <si>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</si>
  <si>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</si>
  <si>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</si>
  <si>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</si>
  <si>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</si>
  <si>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</si>
  <si>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</si>
  <si>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</si>
  <si>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</si>
  <si>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</si>
  <si>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</si>
  <si>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</si>
  <si>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</si>
  <si>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</si>
  <si>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</si>
  <si>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</si>
  <si>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</si>
  <si>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</si>
  <si>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</si>
  <si>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</si>
  <si>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</si>
  <si>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</si>
  <si>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</si>
  <si>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</si>
  <si>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</si>
  <si>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</si>
  <si>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</si>
  <si>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</si>
  <si>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</si>
  <si>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</si>
  <si>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</si>
  <si>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</si>
  <si>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</si>
  <si>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</si>
  <si>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</si>
  <si>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</si>
  <si>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</si>
  <si>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</si>
  <si>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</si>
  <si>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</si>
  <si>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</si>
  <si>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</si>
  <si>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</si>
  <si>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</si>
  <si>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</si>
  <si>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</si>
  <si>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</si>
  <si>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</si>
  <si>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</si>
  <si>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</si>
  <si>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</si>
  <si>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</si>
  <si>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</si>
  <si>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</si>
  <si>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</si>
  <si>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</si>
  <si>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</si>
  <si>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</si>
  <si>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</si>
  <si>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</si>
  <si>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</si>
  <si>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</si>
  <si>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</si>
  <si>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</si>
  <si>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</si>
  <si>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</si>
  <si>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</si>
  <si>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</si>
  <si>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</si>
  <si>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</si>
  <si>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</si>
  <si>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</si>
  <si>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</si>
  <si>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</si>
  <si>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</si>
  <si>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</si>
  <si>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</si>
  <si>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</si>
  <si>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</si>
  <si>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</si>
  <si>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</si>
  <si>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</si>
  <si>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</si>
  <si>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</si>
  <si>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</si>
  <si>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</si>
  <si>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</si>
  <si>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</si>
  <si>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</si>
  <si>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</si>
  <si>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</si>
  <si>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</si>
  <si>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</si>
  <si>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</si>
  <si>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</si>
  <si>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</si>
  <si>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</si>
  <si>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</si>
  <si>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</si>
  <si>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</si>
  <si>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</si>
  <si>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</si>
  <si>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</si>
  <si>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</si>
  <si>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</si>
  <si>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</si>
  <si>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</si>
  <si>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</si>
  <si>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</si>
  <si>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</si>
  <si>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</si>
  <si>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</si>
  <si>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</si>
  <si>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</si>
  <si>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</si>
  <si>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</si>
  <si>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</si>
  <si>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</si>
  <si>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</si>
  <si>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</si>
  <si>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</si>
  <si>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</si>
  <si>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</si>
  <si>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</si>
  <si>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</si>
  <si>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</si>
  <si>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</si>
  <si>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</si>
  <si>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</si>
  <si>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</si>
  <si>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</si>
  <si>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</si>
  <si>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</si>
  <si>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</si>
  <si>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</si>
  <si>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</si>
  <si>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</si>
  <si>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</si>
  <si>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</si>
  <si>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</si>
  <si>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</si>
  <si>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</si>
  <si>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</si>
  <si>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</si>
  <si>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</si>
  <si>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</si>
  <si>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</si>
  <si>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</si>
  <si>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</si>
  <si>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</si>
  <si>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</si>
  <si>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</si>
  <si>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</si>
  <si>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</si>
  <si>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</si>
  <si>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</si>
  <si>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</si>
  <si>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</si>
  <si>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</si>
  <si>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</si>
  <si>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</si>
  <si>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</si>
  <si>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</si>
  <si>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</si>
  <si>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</si>
  <si>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</si>
  <si>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</si>
  <si>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</si>
  <si>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</si>
  <si>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</si>
  <si>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</si>
  <si>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</si>
  <si>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</si>
  <si>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</si>
  <si>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</si>
  <si>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</si>
  <si>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</si>
  <si>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</si>
  <si>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</si>
  <si>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</si>
  <si>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</si>
  <si>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</si>
  <si>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</si>
  <si>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</si>
  <si>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</si>
  <si>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</si>
  <si>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</si>
  <si>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</si>
  <si>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</si>
  <si>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</si>
  <si>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</si>
  <si>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</si>
  <si>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</si>
  <si>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</si>
  <si>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</si>
  <si>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</si>
  <si>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</si>
  <si>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</si>
  <si>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</si>
  <si>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</si>
  <si>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</si>
  <si>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</si>
  <si>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</si>
  <si>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</si>
  <si>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</si>
  <si>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</si>
  <si>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</si>
  <si>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</si>
  <si>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</si>
  <si>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</si>
  <si>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</si>
  <si>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</si>
  <si>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</si>
  <si>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</si>
  <si>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</si>
  <si>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</si>
  <si>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</si>
  <si>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</si>
  <si>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</si>
  <si>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</si>
  <si>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</si>
  <si>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</si>
  <si>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</si>
  <si>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</si>
  <si>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</si>
  <si>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</si>
  <si>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</si>
  <si>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</si>
  <si>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</si>
  <si>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</si>
  <si>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</si>
  <si>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</si>
  <si>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</si>
  <si>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</si>
  <si>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</si>
  <si>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</si>
  <si>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</si>
  <si>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</si>
  <si>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</si>
  <si>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</si>
  <si>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</si>
  <si>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</si>
  <si>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</si>
  <si>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</si>
  <si>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</si>
  <si>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</si>
  <si>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</si>
  <si>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</si>
  <si>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</si>
  <si>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</si>
  <si>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</si>
  <si>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</si>
  <si>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</si>
  <si>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</si>
  <si>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</si>
  <si>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</si>
  <si>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</si>
  <si>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</si>
  <si>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</si>
  <si>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</si>
  <si>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</si>
  <si>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</si>
  <si>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</si>
  <si>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</si>
  <si>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</si>
  <si>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</si>
  <si>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</si>
  <si>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</si>
  <si>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</si>
  <si>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</si>
  <si>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</si>
  <si>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</si>
  <si>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</si>
  <si>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</si>
  <si>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</si>
  <si>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</si>
  <si>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</si>
  <si>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</si>
  <si>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</si>
  <si>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</si>
  <si>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</si>
  <si>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</si>
  <si>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</si>
  <si>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</si>
  <si>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</si>
  <si>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</si>
  <si>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</si>
  <si>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</si>
  <si>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</si>
  <si>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</si>
  <si>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</si>
  <si>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</si>
  <si>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</si>
  <si>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</si>
  <si>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</si>
  <si>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</si>
  <si>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</si>
  <si>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</si>
  <si>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</si>
  <si>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</si>
  <si>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</si>
  <si>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</si>
  <si>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</si>
  <si>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</si>
  <si>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</si>
  <si>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</si>
  <si>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</si>
  <si>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</si>
  <si>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</si>
  <si>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</si>
  <si>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</si>
  <si>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</si>
  <si>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</si>
  <si>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</si>
  <si>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</si>
  <si>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</si>
  <si>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</si>
  <si>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</si>
  <si>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</si>
  <si>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</si>
  <si>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</si>
  <si>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</si>
  <si>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</si>
  <si>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</si>
  <si>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</si>
  <si>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</si>
  <si>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</si>
  <si>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</si>
  <si>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</si>
  <si>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</si>
  <si>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</si>
  <si>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</si>
  <si>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</si>
  <si>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</si>
  <si>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</si>
  <si>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</si>
  <si>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</si>
  <si>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</si>
  <si>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</si>
  <si>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</si>
  <si>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</si>
  <si>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</si>
  <si>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</si>
  <si>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</si>
  <si>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</si>
  <si>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</si>
  <si>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</si>
  <si>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</si>
  <si>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</si>
  <si>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</si>
  <si>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</si>
  <si>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</si>
  <si>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</si>
  <si>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</si>
  <si>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</si>
  <si>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</si>
  <si>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</si>
  <si>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</si>
  <si>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</si>
  <si>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</si>
  <si>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</si>
  <si>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</si>
  <si>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</si>
  <si>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</si>
  <si>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</si>
  <si>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</si>
  <si>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</si>
  <si>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</si>
  <si>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</si>
  <si>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</si>
  <si>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</si>
  <si>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</si>
  <si>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</si>
  <si>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</si>
  <si>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</si>
  <si>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</si>
  <si>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</si>
  <si>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</si>
  <si>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</si>
  <si>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</si>
  <si>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</si>
  <si>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</si>
  <si>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</si>
  <si>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</si>
  <si>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</si>
  <si>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</si>
  <si>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</si>
  <si>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</si>
  <si>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</si>
  <si>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</si>
  <si>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</si>
  <si>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</si>
  <si>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</si>
  <si>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</si>
  <si>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</si>
  <si>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</si>
  <si>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</si>
  <si>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</si>
  <si>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</si>
  <si>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</si>
  <si>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</si>
  <si>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</si>
  <si>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</si>
  <si>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</si>
  <si>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</si>
  <si>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</si>
  <si>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</si>
  <si>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</si>
  <si>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</si>
  <si>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</si>
  <si>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</si>
  <si>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</si>
  <si>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</si>
  <si>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</si>
  <si>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</si>
  <si>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</si>
  <si>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</si>
  <si>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</si>
  <si>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</si>
  <si>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</si>
  <si>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</si>
  <si>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</si>
  <si>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</si>
  <si>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</si>
  <si>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</si>
  <si>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</si>
  <si>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</si>
  <si>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</si>
  <si>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</si>
  <si>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</si>
  <si>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</si>
  <si>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</si>
  <si>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</si>
  <si>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</si>
  <si>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</si>
  <si>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</si>
  <si>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</si>
  <si>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</si>
  <si>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</si>
  <si>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</si>
  <si>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</si>
  <si>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</si>
  <si>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</si>
  <si>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</si>
  <si>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</si>
  <si>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</si>
  <si>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</si>
  <si>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</si>
  <si>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</si>
  <si>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</si>
  <si>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</si>
  <si>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</si>
  <si>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</si>
  <si>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</si>
  <si>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</si>
  <si>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</si>
  <si>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</si>
  <si>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</si>
  <si>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</si>
  <si>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</si>
  <si>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</si>
  <si>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</si>
  <si>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</si>
  <si>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</si>
  <si>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</si>
  <si>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</si>
  <si>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</si>
  <si>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</si>
  <si>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</si>
  <si>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</si>
  <si>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</si>
  <si>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</si>
  <si>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</si>
  <si>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</si>
  <si>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</si>
  <si>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</si>
  <si>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</si>
  <si>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</si>
  <si>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</si>
  <si>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</si>
  <si>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</si>
  <si>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</si>
  <si>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</si>
  <si>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</si>
  <si>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</si>
  <si>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</si>
  <si>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</si>
  <si>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</si>
  <si>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</si>
  <si>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</si>
  <si>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</si>
  <si>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</si>
  <si>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</si>
  <si>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</si>
  <si>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</si>
  <si>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</si>
  <si>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</si>
  <si>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</si>
  <si>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</si>
  <si>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</si>
  <si>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</si>
  <si>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</si>
  <si>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</si>
  <si>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</si>
  <si>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</si>
  <si>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</si>
  <si>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</si>
  <si>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</si>
  <si>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</si>
  <si>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</si>
  <si>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</si>
  <si>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</si>
  <si>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</si>
  <si>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</si>
  <si>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</si>
  <si>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</si>
  <si>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</si>
  <si>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</si>
  <si>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</si>
  <si>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</si>
  <si>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</si>
  <si>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</si>
  <si>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</si>
  <si>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</si>
  <si>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</si>
  <si>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</si>
  <si>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</si>
  <si>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</si>
  <si>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</si>
  <si>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</si>
  <si>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</si>
  <si>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</si>
  <si>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</si>
  <si>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</si>
  <si>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</si>
  <si>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</si>
  <si>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</si>
  <si>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</si>
  <si>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</si>
  <si>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</si>
  <si>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</si>
  <si>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</si>
  <si>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</si>
  <si>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</si>
  <si>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</si>
  <si>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</si>
  <si>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</si>
  <si>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</si>
  <si>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</si>
  <si>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</si>
  <si>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</si>
  <si>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</si>
  <si>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</si>
  <si>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</si>
  <si>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</si>
  <si>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</si>
  <si>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</si>
  <si>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</si>
  <si>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</si>
  <si>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</si>
  <si>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</si>
  <si>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</si>
  <si>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</si>
  <si>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</si>
  <si>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</si>
  <si>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</si>
  <si>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</si>
  <si>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</si>
  <si>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</si>
  <si>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</si>
  <si>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</si>
  <si>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</si>
  <si>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</si>
  <si>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</si>
  <si>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</si>
  <si>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</si>
  <si>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</si>
  <si>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</si>
  <si>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</si>
  <si>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</si>
  <si>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</si>
  <si>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</si>
  <si>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</si>
  <si>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</si>
  <si>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</si>
  <si>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</si>
  <si>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</si>
  <si>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</si>
  <si>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</si>
  <si>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</si>
  <si>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</si>
  <si>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</si>
  <si>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</si>
  <si>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</si>
  <si>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</si>
  <si>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</si>
  <si>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</si>
  <si>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</si>
  <si>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</si>
  <si>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</si>
  <si>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</si>
  <si>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</si>
  <si>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</si>
  <si>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</si>
  <si>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</si>
  <si>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</si>
  <si>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</si>
  <si>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</si>
  <si>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</si>
  <si>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</si>
  <si>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</si>
  <si>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</si>
  <si>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</si>
  <si>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</si>
  <si>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</si>
  <si>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</si>
  <si>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</si>
  <si>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</si>
  <si>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</si>
  <si>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</si>
  <si>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</si>
  <si>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</si>
  <si>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</si>
  <si>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</si>
  <si>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</si>
  <si>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</si>
  <si>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</si>
  <si>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</si>
  <si>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</si>
  <si>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</si>
  <si>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</si>
  <si>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</si>
  <si>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</si>
  <si>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</si>
  <si>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</si>
  <si>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</si>
  <si>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</si>
  <si>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</si>
  <si>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</si>
  <si>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</si>
  <si>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</si>
  <si>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</si>
  <si>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</si>
  <si>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</si>
  <si>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</si>
  <si>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</si>
  <si>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</si>
  <si>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</si>
  <si>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</si>
  <si>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</si>
  <si>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</si>
  <si>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</si>
  <si>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</si>
  <si>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</si>
  <si>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</si>
  <si>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</si>
  <si>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</si>
  <si>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</si>
  <si>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</si>
  <si>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</si>
  <si>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</si>
  <si>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</si>
  <si>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</si>
  <si>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</si>
  <si>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</si>
  <si>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</si>
  <si>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</si>
  <si>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</si>
  <si>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</si>
  <si>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</si>
  <si>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</si>
  <si>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</si>
  <si>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</si>
  <si>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</si>
  <si>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</si>
  <si>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</si>
  <si>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</si>
  <si>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</si>
  <si>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</si>
  <si>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</si>
  <si>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</si>
  <si>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</si>
  <si>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</si>
  <si>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</si>
  <si>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</si>
  <si>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</si>
  <si>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</si>
  <si>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</si>
  <si>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</si>
  <si>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</si>
  <si>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</si>
  <si>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</si>
  <si>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</si>
  <si>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</si>
  <si>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</si>
  <si>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</si>
  <si>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</si>
  <si>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</si>
  <si>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</si>
  <si>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</si>
  <si>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</si>
  <si>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</si>
  <si>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</si>
  <si>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</si>
  <si>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</si>
  <si>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</si>
  <si>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</si>
  <si>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</si>
  <si>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</si>
  <si>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</si>
  <si>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</si>
  <si>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</si>
  <si>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</si>
  <si>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</si>
  <si>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</si>
  <si>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</si>
  <si>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</si>
  <si>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</si>
  <si>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</si>
  <si>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</si>
  <si>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</si>
  <si>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</si>
  <si>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</si>
  <si>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</si>
  <si>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</si>
  <si>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</si>
  <si>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</si>
  <si>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</si>
  <si>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</si>
  <si>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</si>
  <si>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</si>
  <si>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</si>
  <si>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</si>
  <si>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</si>
  <si>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</si>
  <si>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</si>
  <si>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</si>
  <si>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</si>
  <si>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</si>
  <si>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</si>
  <si>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</si>
  <si>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</si>
  <si>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</si>
  <si>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</si>
  <si>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</si>
  <si>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</si>
  <si>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</si>
  <si>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</si>
  <si>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</si>
  <si>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</si>
  <si>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</si>
  <si>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</si>
  <si>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</si>
  <si>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</si>
  <si>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</si>
  <si>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</si>
  <si>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</si>
  <si>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</si>
  <si>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</si>
  <si>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</si>
  <si>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</si>
  <si>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</si>
  <si>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</si>
  <si>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</si>
  <si>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</si>
  <si>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</si>
  <si>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</si>
  <si>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</si>
  <si>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</si>
  <si>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</si>
  <si>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</si>
  <si>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</si>
  <si>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</si>
  <si>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</si>
  <si>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</si>
  <si>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</si>
  <si>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</si>
  <si>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</si>
  <si>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</si>
  <si>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</si>
  <si>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</si>
  <si>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</si>
  <si>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</si>
  <si>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</si>
  <si>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</si>
  <si>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</si>
  <si>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</si>
  <si>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</si>
  <si>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</si>
  <si>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</si>
  <si>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</si>
  <si>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</si>
  <si>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</si>
  <si>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</si>
  <si>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</si>
  <si>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</si>
  <si>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</si>
  <si>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</si>
  <si>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</si>
  <si>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</si>
  <si>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</si>
  <si>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</si>
  <si>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</si>
  <si>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</si>
  <si>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</si>
  <si>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</si>
  <si>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</si>
  <si>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</si>
  <si>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</si>
  <si>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</si>
  <si>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</si>
  <si>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</si>
  <si>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</si>
  <si>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</si>
  <si>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</si>
  <si>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</si>
  <si>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</si>
  <si>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</si>
  <si>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</si>
  <si>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</si>
  <si>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</si>
  <si>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</si>
  <si>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</si>
  <si>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</si>
  <si>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</si>
  <si>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</si>
  <si>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</si>
  <si>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</si>
  <si>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</si>
  <si>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</si>
  <si>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</si>
  <si>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</si>
  <si>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</si>
  <si>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</si>
  <si>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</si>
  <si>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</si>
  <si>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</si>
  <si>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</si>
  <si>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</si>
  <si>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</si>
  <si>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</si>
  <si>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</si>
  <si>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</si>
  <si>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</si>
  <si>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</si>
  <si>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</si>
  <si>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</si>
  <si>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</si>
  <si>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</si>
  <si>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</si>
  <si>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</si>
  <si>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</si>
  <si>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</si>
  <si>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</si>
  <si>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</si>
  <si>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</si>
  <si>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</si>
  <si>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</si>
  <si>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</si>
  <si>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</si>
  <si>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</si>
  <si>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</si>
  <si>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</si>
  <si>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</si>
  <si>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</si>
  <si>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</si>
  <si>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</si>
  <si>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</si>
  <si>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</si>
  <si>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</si>
  <si>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</si>
  <si>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</si>
  <si>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</si>
  <si>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</si>
  <si>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</si>
  <si>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</si>
  <si>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</si>
  <si>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</si>
  <si>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</si>
  <si>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</si>
  <si>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</si>
  <si>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</si>
  <si>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</si>
  <si>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</si>
  <si>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</si>
  <si>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</si>
  <si>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</si>
  <si>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</si>
  <si>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</si>
  <si>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</si>
  <si>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</si>
  <si>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</si>
  <si>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</si>
  <si>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</si>
  <si>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</si>
  <si>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</si>
  <si>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</si>
  <si>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</si>
  <si>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</si>
  <si>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</si>
  <si>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</si>
  <si>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</si>
  <si>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</si>
  <si>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</si>
  <si>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</si>
  <si>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</si>
  <si>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</si>
  <si>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</si>
  <si>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</si>
  <si>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</si>
  <si>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</si>
  <si>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</si>
  <si>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</si>
  <si>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</si>
  <si>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</si>
  <si>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</si>
  <si>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</si>
  <si>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</si>
  <si>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</si>
  <si>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</si>
  <si>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</si>
  <si>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</si>
  <si>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</si>
  <si>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</si>
  <si>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</si>
  <si>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</si>
  <si>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</si>
  <si>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</si>
  <si>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</si>
  <si>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</si>
  <si>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</si>
  <si>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</si>
  <si>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</si>
  <si>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</si>
  <si>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</si>
  <si>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</si>
  <si>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</si>
  <si>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</si>
  <si>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</si>
  <si>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</si>
  <si>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</si>
  <si>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</si>
  <si>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</si>
  <si>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</si>
  <si>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</si>
  <si>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</si>
  <si>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</si>
  <si>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</si>
  <si>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</si>
  <si>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</si>
  <si>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</si>
  <si>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</si>
  <si>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</si>
  <si>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</si>
  <si>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</si>
  <si>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</si>
  <si>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</si>
  <si>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</si>
  <si>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</si>
  <si>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</si>
  <si>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</si>
  <si>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</si>
  <si>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</si>
  <si>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</si>
  <si>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</si>
  <si>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</si>
  <si>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</si>
  <si>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</si>
  <si>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</si>
  <si>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</si>
  <si>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</si>
  <si>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</si>
  <si>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</si>
  <si>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</si>
  <si>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</si>
  <si>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</si>
  <si>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</si>
  <si>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</si>
  <si>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</si>
  <si>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</si>
  <si>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</si>
  <si>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</si>
  <si>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</si>
  <si>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</si>
  <si>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</si>
  <si>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</si>
  <si>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</si>
  <si>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</si>
  <si>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</si>
  <si>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</si>
  <si>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</si>
  <si>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</si>
  <si>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</si>
  <si>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</si>
  <si>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</si>
  <si>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</si>
  <si>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</si>
  <si>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</si>
  <si>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</si>
  <si>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</si>
  <si>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</si>
  <si>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</si>
  <si>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</si>
  <si>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</si>
  <si>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</si>
  <si>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</si>
  <si>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</si>
  <si>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</si>
  <si>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</si>
  <si>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</si>
  <si>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</si>
  <si>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</si>
  <si>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</si>
  <si>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</si>
  <si>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</si>
  <si>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</si>
  <si>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</si>
  <si>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</si>
  <si>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</si>
  <si>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</si>
  <si>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</si>
  <si>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</si>
  <si>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</si>
  <si>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</si>
  <si>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</si>
  <si>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</si>
  <si>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</si>
  <si>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</si>
  <si>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</si>
  <si>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</si>
  <si>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</si>
  <si>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</si>
  <si>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</si>
  <si>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</si>
  <si>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</si>
  <si>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</si>
  <si>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</si>
  <si>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</si>
  <si>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</si>
  <si>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</si>
  <si>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</si>
  <si>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</si>
  <si>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</si>
  <si>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</si>
  <si>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</si>
  <si>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</si>
  <si>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</si>
  <si>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</si>
  <si>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</si>
  <si>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</si>
  <si>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</si>
  <si>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</si>
  <si>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</si>
  <si>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</si>
  <si>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</si>
  <si>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</si>
  <si>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</si>
  <si>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</si>
  <si>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</si>
  <si>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</si>
  <si>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</si>
  <si>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</si>
  <si>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</si>
  <si>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</si>
  <si>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</si>
  <si>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</si>
  <si>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</si>
  <si>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</si>
  <si>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</si>
  <si>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</si>
  <si>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</si>
  <si>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</si>
  <si>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</si>
  <si>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</si>
  <si>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</si>
  <si>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</si>
  <si>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</si>
  <si>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</si>
  <si>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</si>
  <si>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</si>
  <si>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</si>
  <si>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</si>
  <si>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</si>
  <si>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</si>
  <si>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</si>
  <si>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</si>
  <si>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</si>
  <si>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</si>
  <si>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</si>
  <si>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</si>
  <si>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</si>
  <si>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</si>
  <si>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</si>
  <si>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</si>
  <si>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</si>
  <si>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</si>
  <si>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</si>
  <si>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</si>
  <si>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</si>
  <si>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</si>
  <si>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</si>
  <si>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</si>
  <si>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</si>
  <si>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</si>
  <si>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</si>
  <si>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</si>
  <si>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</si>
  <si>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</si>
  <si>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</si>
  <si>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</si>
  <si>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</si>
  <si>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</si>
  <si>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</si>
  <si>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</si>
  <si>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</si>
  <si>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</si>
  <si>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</si>
  <si>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</si>
  <si>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</si>
  <si>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</si>
  <si>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</si>
  <si>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</si>
  <si>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</si>
  <si>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</si>
  <si>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</si>
  <si>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</si>
  <si>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</si>
  <si>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</si>
  <si>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</si>
  <si>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</si>
  <si>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</si>
  <si>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</si>
  <si>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</si>
  <si>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</si>
  <si>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</si>
  <si>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</si>
  <si>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</si>
  <si>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</si>
  <si>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</si>
  <si>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</si>
  <si>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</si>
  <si>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</si>
  <si>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</si>
  <si>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</si>
  <si>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</si>
  <si>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</si>
  <si>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</si>
  <si>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</si>
  <si>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</si>
  <si>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</si>
  <si>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</si>
  <si>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</si>
  <si>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</si>
  <si>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</si>
  <si>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</si>
  <si>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</si>
  <si>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</si>
  <si>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</si>
  <si>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</si>
  <si>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</si>
  <si>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</si>
  <si>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</si>
  <si>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</si>
  <si>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</si>
  <si>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</si>
  <si>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</si>
  <si>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</si>
  <si>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</si>
  <si>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</si>
  <si>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</si>
  <si>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</si>
  <si>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</si>
  <si>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</si>
  <si>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</si>
  <si>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</si>
  <si>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</si>
  <si>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</si>
  <si>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</si>
  <si>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</si>
  <si>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</si>
  <si>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</si>
  <si>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</si>
  <si>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</si>
  <si>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</si>
  <si>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</si>
  <si>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</si>
  <si>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</si>
  <si>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</si>
  <si>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</si>
  <si>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</si>
  <si>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</si>
  <si>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</si>
  <si>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</si>
  <si>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</si>
  <si>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</si>
  <si>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</si>
  <si>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</si>
  <si>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</si>
  <si>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</si>
  <si>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</si>
  <si>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</si>
  <si>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</si>
  <si>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</si>
  <si>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</si>
  <si>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</si>
  <si>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</si>
  <si>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</si>
  <si>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</si>
  <si>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</si>
  <si>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</si>
  <si>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</si>
  <si>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</si>
  <si>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</si>
  <si>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</si>
  <si>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</si>
  <si>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</si>
  <si>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</si>
  <si>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</si>
  <si>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</si>
  <si>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</si>
  <si>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</si>
  <si>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</si>
  <si>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</si>
  <si>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</si>
  <si>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</si>
  <si>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</si>
  <si>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</si>
  <si>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</si>
  <si>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</si>
  <si>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</si>
  <si>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</si>
  <si>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</si>
  <si>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</si>
  <si>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</si>
  <si>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</si>
  <si>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</si>
  <si>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</si>
  <si>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</si>
  <si>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</si>
  <si>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</si>
  <si>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</si>
  <si>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</si>
  <si>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</si>
  <si>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</si>
  <si>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</si>
  <si>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</si>
  <si>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</si>
  <si>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</si>
  <si>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</si>
  <si>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</si>
  <si>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</si>
  <si>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</si>
  <si>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</si>
  <si>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</si>
  <si>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</si>
  <si>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</si>
  <si>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</si>
  <si>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</si>
  <si>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</si>
  <si>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</si>
  <si>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</si>
  <si>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</si>
  <si>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</si>
  <si>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</si>
  <si>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</si>
  <si>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</si>
  <si>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</si>
  <si>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</si>
  <si>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</si>
  <si>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</si>
  <si>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</si>
  <si>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</si>
  <si>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</si>
  <si>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</si>
  <si>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</si>
  <si>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</si>
  <si>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</si>
  <si>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</si>
  <si>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</si>
  <si>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</si>
  <si>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</si>
  <si>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</si>
  <si>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</si>
  <si>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</si>
  <si>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</si>
  <si>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</si>
  <si>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</si>
  <si>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</si>
  <si>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</si>
  <si>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</si>
  <si>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</si>
  <si>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</si>
  <si>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</si>
  <si>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</si>
  <si>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</si>
  <si>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</si>
  <si>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</si>
  <si>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</si>
  <si>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</si>
  <si>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</si>
  <si>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</si>
  <si>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</si>
  <si>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</si>
  <si>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</si>
  <si>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</si>
  <si>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</si>
  <si>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</si>
  <si>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</si>
  <si>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</si>
  <si>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</si>
  <si>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</si>
  <si>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</si>
  <si>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</si>
  <si>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</si>
  <si>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</si>
  <si>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</si>
  <si>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</si>
  <si>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</si>
  <si>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</si>
  <si>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</si>
  <si>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</si>
  <si>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</si>
  <si>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</si>
  <si>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</si>
  <si>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</si>
  <si>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</si>
  <si>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</si>
  <si>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</si>
  <si>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</si>
  <si>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</si>
  <si>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</si>
  <si>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</si>
  <si>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</si>
  <si>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</si>
  <si>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</si>
  <si>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</si>
  <si>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</si>
  <si>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</si>
  <si>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</si>
  <si>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</si>
  <si>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</si>
  <si>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</si>
  <si>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</si>
  <si>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</si>
  <si>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</si>
  <si>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</si>
  <si>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</si>
  <si>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</si>
  <si>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</si>
  <si>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</si>
  <si>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</si>
  <si>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</si>
  <si>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</si>
  <si>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</si>
  <si>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</si>
  <si>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</si>
  <si>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</si>
  <si>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</si>
  <si>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</si>
  <si>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</si>
  <si>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</si>
  <si>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</si>
  <si>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</si>
  <si>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</si>
  <si>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</si>
  <si>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</si>
  <si>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</si>
  <si>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</si>
  <si>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</si>
  <si>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</si>
  <si>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</si>
  <si>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</si>
  <si>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</si>
  <si>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</si>
  <si>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</si>
  <si>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</si>
  <si>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</si>
  <si>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</si>
  <si>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</si>
  <si>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</si>
  <si>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</si>
  <si>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</si>
  <si>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</si>
  <si>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</si>
  <si>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</si>
  <si>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</si>
  <si>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</si>
  <si>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</si>
  <si>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</si>
  <si>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</si>
  <si>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</si>
  <si>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</si>
  <si>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</si>
  <si>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</si>
  <si>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</si>
  <si>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</si>
  <si>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</si>
  <si>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</si>
  <si>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</si>
  <si>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</si>
  <si>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</si>
  <si>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</si>
  <si>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</si>
  <si>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</si>
  <si>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</si>
  <si>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</si>
  <si>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</si>
  <si>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</si>
  <si>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</si>
  <si>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</si>
  <si>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</si>
  <si>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</si>
  <si>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</si>
  <si>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</si>
  <si>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</si>
  <si>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</si>
  <si>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</si>
  <si>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</si>
  <si>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</si>
  <si>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</si>
  <si>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</si>
  <si>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</si>
  <si>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</si>
  <si>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</si>
  <si>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</si>
  <si>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</si>
  <si>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</si>
  <si>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</si>
  <si>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</si>
  <si>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</si>
  <si>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</si>
  <si>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</si>
  <si>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</si>
  <si>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</si>
  <si>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</si>
  <si>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</si>
  <si>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</si>
  <si>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</si>
  <si>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</si>
  <si>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</si>
  <si>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</si>
  <si>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</si>
  <si>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</si>
  <si>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</si>
  <si>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</si>
  <si>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</si>
  <si>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</si>
  <si>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</si>
  <si>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</si>
  <si>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</si>
  <si>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</si>
  <si>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</si>
  <si>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</si>
  <si>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</si>
  <si>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</si>
  <si>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</si>
  <si>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</si>
  <si>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</si>
  <si>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</si>
  <si>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</si>
  <si>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</si>
  <si>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</si>
  <si>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</si>
  <si>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</si>
  <si>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</si>
  <si>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</si>
  <si>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</si>
  <si>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</si>
  <si>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</si>
  <si>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</si>
  <si>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</si>
  <si>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</si>
  <si>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</si>
  <si>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</si>
  <si>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</si>
  <si>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</si>
  <si>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</si>
  <si>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</si>
  <si>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</si>
  <si>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</si>
  <si>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</si>
  <si>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</si>
  <si>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</si>
  <si>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</si>
  <si>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</si>
  <si>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</si>
  <si>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</si>
  <si>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</si>
  <si>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</si>
  <si>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</si>
  <si>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</si>
  <si>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</si>
  <si>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</si>
  <si>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</si>
  <si>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</si>
  <si>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</si>
  <si>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</si>
  <si>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</si>
  <si>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</si>
  <si>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</si>
  <si>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</si>
  <si>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</si>
  <si>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</si>
  <si>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</si>
  <si>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</si>
  <si>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</si>
  <si>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</si>
  <si>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</si>
  <si>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</si>
  <si>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</si>
  <si>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</si>
  <si>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</si>
  <si>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</si>
  <si>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</si>
  <si>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</si>
  <si>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</si>
  <si>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</si>
  <si>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</si>
  <si>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</si>
  <si>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</si>
  <si>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</si>
  <si>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</si>
  <si>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</si>
  <si>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</si>
  <si>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</si>
  <si>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</si>
  <si>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</si>
  <si>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</si>
  <si>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</si>
  <si>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</si>
  <si>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</si>
  <si>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</si>
  <si>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</si>
  <si>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</si>
  <si>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</si>
  <si>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</si>
  <si>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</si>
  <si>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</si>
  <si>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</si>
  <si>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</si>
  <si>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</si>
  <si>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</si>
  <si>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</si>
  <si>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</si>
  <si>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</si>
  <si>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</si>
  <si>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</si>
  <si>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</si>
  <si>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</si>
  <si>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</si>
  <si>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</si>
  <si>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</si>
  <si>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</si>
  <si>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</si>
  <si>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</si>
  <si>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</si>
  <si>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</si>
  <si>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</si>
  <si>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</si>
  <si>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</si>
  <si>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</si>
  <si>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</si>
  <si>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</si>
  <si>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</si>
  <si>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</si>
  <si>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</si>
  <si>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</si>
  <si>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</si>
  <si>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</si>
  <si>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</si>
  <si>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</si>
  <si>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</si>
  <si>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</si>
  <si>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</si>
  <si>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</si>
  <si>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</si>
  <si>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</si>
  <si>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</si>
  <si>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</si>
  <si>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</si>
  <si>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</si>
  <si>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</si>
  <si>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</si>
  <si>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</si>
  <si>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</si>
  <si>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</si>
  <si>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</si>
  <si>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</si>
  <si>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</si>
  <si>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</si>
  <si>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</si>
  <si>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</si>
  <si>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</si>
  <si>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</si>
  <si>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</si>
  <si>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</si>
  <si>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</si>
  <si>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</si>
  <si>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</si>
  <si>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</si>
  <si>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</si>
  <si>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</si>
  <si>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</si>
  <si>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</si>
  <si>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</si>
  <si>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</si>
  <si>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</si>
  <si>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</si>
  <si>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</si>
  <si>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</si>
  <si>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</si>
  <si>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</si>
  <si>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</si>
  <si>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</si>
  <si>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</si>
  <si>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</si>
  <si>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</si>
  <si>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</si>
  <si>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</si>
  <si>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</si>
  <si>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</si>
  <si>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</si>
  <si>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</si>
  <si>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</si>
  <si>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</si>
  <si>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</si>
  <si>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</si>
  <si>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</si>
  <si>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</si>
  <si>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</si>
  <si>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</si>
  <si>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</si>
  <si>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</si>
  <si>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</si>
  <si>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</si>
  <si>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</si>
  <si>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</si>
  <si>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</si>
  <si>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</si>
  <si>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</si>
  <si>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</si>
  <si>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</si>
  <si>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</si>
  <si>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</si>
  <si>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</si>
  <si>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</si>
  <si>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</si>
  <si>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</si>
  <si>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</si>
  <si>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</si>
  <si>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</si>
  <si>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</si>
  <si>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</si>
  <si>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</si>
  <si>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</si>
  <si>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</si>
  <si>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</si>
  <si>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</si>
  <si>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</si>
  <si>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</si>
  <si>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</si>
  <si>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</si>
  <si>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</si>
  <si>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</si>
  <si>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</si>
  <si>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</si>
  <si>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</si>
  <si>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</si>
  <si>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</si>
  <si>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</si>
  <si>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</si>
  <si>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</si>
  <si>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</si>
  <si>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</si>
  <si>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</si>
  <si>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</si>
  <si>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</si>
  <si>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</si>
  <si>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</si>
  <si>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</si>
  <si>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</si>
  <si>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</si>
  <si>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</si>
  <si>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</si>
  <si>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</si>
  <si>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</si>
  <si>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</si>
  <si>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</si>
  <si>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</si>
  <si>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</si>
  <si>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</si>
  <si>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</si>
  <si>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</si>
  <si>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</si>
  <si>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</si>
  <si>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</si>
  <si>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</si>
  <si>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</si>
  <si>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</si>
  <si>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</si>
  <si>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</si>
  <si>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</si>
  <si>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</si>
  <si>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</si>
  <si>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</si>
  <si>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</si>
  <si>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</si>
  <si>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</si>
  <si>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</si>
  <si>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</si>
  <si>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</si>
  <si>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</si>
  <si>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</si>
  <si>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</si>
  <si>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</si>
  <si>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</si>
  <si>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</si>
  <si>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</si>
  <si>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</si>
  <si>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</si>
  <si>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</si>
  <si>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</si>
  <si>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</si>
  <si>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</si>
  <si>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</si>
  <si>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</si>
  <si>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</si>
  <si>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</si>
  <si>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</si>
  <si>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</si>
  <si>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</si>
  <si>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</si>
  <si>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</si>
  <si>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</si>
  <si>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</si>
  <si>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</si>
  <si>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</si>
  <si>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</si>
  <si>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</si>
  <si>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</si>
  <si>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</si>
  <si>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</si>
  <si>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</si>
  <si>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</si>
  <si>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</si>
  <si>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</si>
  <si>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</si>
  <si>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</si>
  <si>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</si>
  <si>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</si>
  <si>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</si>
  <si>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</si>
  <si>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</si>
  <si>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</si>
  <si>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</si>
  <si>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</si>
  <si>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</si>
  <si>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</si>
  <si>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</si>
  <si>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</si>
  <si>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</si>
  <si>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</si>
  <si>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</si>
  <si>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</si>
  <si>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</si>
  <si>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</si>
  <si>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</si>
  <si>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</si>
  <si>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</si>
  <si>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</si>
  <si>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</si>
  <si>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</si>
  <si>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</si>
  <si>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</si>
  <si>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</si>
  <si>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</si>
  <si>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</si>
  <si>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</si>
  <si>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</si>
  <si>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</si>
  <si>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</si>
  <si>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</si>
  <si>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</si>
  <si>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</si>
  <si>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</si>
  <si>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</si>
  <si>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</si>
  <si>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</si>
  <si>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</si>
  <si>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</si>
  <si>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</si>
  <si>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</si>
  <si>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</si>
  <si>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</si>
  <si>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</si>
  <si>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</si>
  <si>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</si>
  <si>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</si>
  <si>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</si>
  <si>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</si>
  <si>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</si>
  <si>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</si>
  <si>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</si>
  <si>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</si>
  <si>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</si>
  <si>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</si>
  <si>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</si>
  <si>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</si>
  <si>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</si>
  <si>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</si>
  <si>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</si>
  <si>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</si>
  <si>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</si>
  <si>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</si>
  <si>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</si>
  <si>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</si>
  <si>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</si>
  <si>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</si>
  <si>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</si>
  <si>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</si>
  <si>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</si>
  <si>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</si>
  <si>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</si>
  <si>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</si>
  <si>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</si>
  <si>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</si>
  <si>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</si>
  <si>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</si>
  <si>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</si>
  <si>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</si>
  <si>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</si>
  <si>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</si>
  <si>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</si>
  <si>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</si>
  <si>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</si>
  <si>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</si>
  <si>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</si>
  <si>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</si>
  <si>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</si>
  <si>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</si>
  <si>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</si>
  <si>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</si>
  <si>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</si>
  <si>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</si>
  <si>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</si>
  <si>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</si>
  <si>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</si>
  <si>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</si>
  <si>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</si>
  <si>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</si>
  <si>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</si>
  <si>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</si>
  <si>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</si>
  <si>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</si>
  <si>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</si>
  <si>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</si>
  <si>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</si>
  <si>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</si>
  <si>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</si>
  <si>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</si>
  <si>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</si>
  <si>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</si>
  <si>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</si>
  <si>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</si>
  <si>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</si>
  <si>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</si>
  <si>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</si>
  <si>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</si>
  <si>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</si>
  <si>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</si>
  <si>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</si>
  <si>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</si>
  <si>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</si>
  <si>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</si>
  <si>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</si>
  <si>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</si>
  <si>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</si>
  <si>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</si>
  <si>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</si>
  <si>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</si>
  <si>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</si>
  <si>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</si>
  <si>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</si>
  <si>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</si>
  <si>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</si>
  <si>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</si>
  <si>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</si>
  <si>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</si>
  <si>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</si>
  <si>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</si>
  <si>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</si>
  <si>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</si>
  <si>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</si>
  <si>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</si>
  <si>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</si>
  <si>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</si>
  <si>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</si>
  <si>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</si>
  <si>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</si>
  <si>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</si>
  <si>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</si>
  <si>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</si>
  <si>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</si>
  <si>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</si>
  <si>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</si>
  <si>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</si>
  <si>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</si>
  <si>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</si>
  <si>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</si>
  <si>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</si>
  <si>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</si>
  <si>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</si>
  <si>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</si>
  <si>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</si>
  <si>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</si>
  <si>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</si>
  <si>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</si>
  <si>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</si>
  <si>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</si>
  <si>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</si>
  <si>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</si>
  <si>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</si>
  <si>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</si>
  <si>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</si>
  <si>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</si>
  <si>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</si>
  <si>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</si>
  <si>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</si>
  <si>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</si>
  <si>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</si>
  <si>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</si>
  <si>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</si>
  <si>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</si>
  <si>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</si>
  <si>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</si>
  <si>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</si>
  <si>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</si>
  <si>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</si>
  <si>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</si>
  <si>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</si>
  <si>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</si>
  <si>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</si>
  <si>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</si>
  <si>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</si>
  <si>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</si>
  <si>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</si>
  <si>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</si>
  <si>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</si>
  <si>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</si>
  <si>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</si>
  <si>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</si>
  <si>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</si>
  <si>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</si>
  <si>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</si>
  <si>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</si>
  <si>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</si>
  <si>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</si>
  <si>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</si>
  <si>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</si>
  <si>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</si>
  <si>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</si>
  <si>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</si>
  <si>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</si>
  <si>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</si>
  <si>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</si>
  <si>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</si>
  <si>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</si>
  <si>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</si>
  <si>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</si>
  <si>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</si>
  <si>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</si>
  <si>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</si>
  <si>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</si>
  <si>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</si>
  <si>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</si>
  <si>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</si>
  <si>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</si>
  <si>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</si>
  <si>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</si>
  <si>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</si>
  <si>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</si>
  <si>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</si>
  <si>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</si>
  <si>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</si>
  <si>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</si>
  <si>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</si>
  <si>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</si>
  <si>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</si>
  <si>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</si>
  <si>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</si>
  <si>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</si>
  <si>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</si>
  <si>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</si>
  <si>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</si>
  <si>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</si>
  <si>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</si>
  <si>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</si>
  <si>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</si>
  <si>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</si>
  <si>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</si>
  <si>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</si>
  <si>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</si>
  <si>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</si>
  <si>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</si>
  <si>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</si>
  <si>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</si>
  <si>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</si>
  <si>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</si>
  <si>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</si>
  <si>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</si>
  <si>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</si>
  <si>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</si>
  <si>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</si>
  <si>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</si>
  <si>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</si>
  <si>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</si>
  <si>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</si>
  <si>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</si>
  <si>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</si>
  <si>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</si>
  <si>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</si>
  <si>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</si>
  <si>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</si>
  <si>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</si>
  <si>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</si>
  <si>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</si>
  <si>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</si>
  <si>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</si>
  <si>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</si>
  <si>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</si>
  <si>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</si>
  <si>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</si>
  <si>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</si>
  <si>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</si>
  <si>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</si>
  <si>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</si>
  <si>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</si>
  <si>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</si>
  <si>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</si>
  <si>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</si>
  <si>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</si>
  <si>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</si>
  <si>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</si>
  <si>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</si>
  <si>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</si>
  <si>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</si>
  <si>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</si>
  <si>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</si>
  <si>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</si>
  <si>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</si>
  <si>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</si>
  <si>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</si>
  <si>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</si>
  <si>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</si>
  <si>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</si>
  <si>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</si>
  <si>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</si>
  <si>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</si>
  <si>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</si>
  <si>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</si>
  <si>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</si>
  <si>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</si>
  <si>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</si>
  <si>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</si>
  <si>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</si>
  <si>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</si>
  <si>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</si>
  <si>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</si>
  <si>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</si>
  <si>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</si>
  <si>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</si>
  <si>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</si>
  <si>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</si>
  <si>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</si>
  <si>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</si>
  <si>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</si>
  <si>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</si>
  <si>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</si>
  <si>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</si>
  <si>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</si>
  <si>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</si>
  <si>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</si>
  <si>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</si>
  <si>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</si>
  <si>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</si>
  <si>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</si>
  <si>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</si>
  <si>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</si>
  <si>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</si>
  <si>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</si>
  <si>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</si>
  <si>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</si>
  <si>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</si>
  <si>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</si>
  <si>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</si>
  <si>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</si>
  <si>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</si>
  <si>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</si>
  <si>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</si>
  <si>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</si>
  <si>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</si>
  <si>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</si>
  <si>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</si>
  <si>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</si>
  <si>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</si>
  <si>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</si>
  <si>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</si>
  <si>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</si>
  <si>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</si>
  <si>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</si>
  <si>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</si>
  <si>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</si>
  <si>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</si>
  <si>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</si>
  <si>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</si>
  <si>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</si>
  <si>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</si>
  <si>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</si>
  <si>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</si>
  <si>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</si>
  <si>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</si>
  <si>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</si>
  <si>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</si>
  <si>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</si>
  <si>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</si>
  <si>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</si>
  <si>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</si>
  <si>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</si>
  <si>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</si>
  <si>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</si>
  <si>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</si>
  <si>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</si>
  <si>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</si>
  <si>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</si>
  <si>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</si>
  <si>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</si>
  <si>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</si>
  <si>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</si>
  <si>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</si>
  <si>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</si>
  <si>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</si>
  <si>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</si>
  <si>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</si>
  <si>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</si>
  <si>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</si>
  <si>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</si>
  <si>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</si>
  <si>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</si>
  <si>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</si>
  <si>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</si>
  <si>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</si>
  <si>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</si>
  <si>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</si>
  <si>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</si>
  <si>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</si>
  <si>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</si>
  <si>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</si>
  <si>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</si>
  <si>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</si>
  <si>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</si>
  <si>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</si>
  <si>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</si>
  <si>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</si>
  <si>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</si>
  <si>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</si>
  <si>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</si>
  <si>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</si>
  <si>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</si>
  <si>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</si>
  <si>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</si>
  <si>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</si>
  <si>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</si>
  <si>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</si>
  <si>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</si>
  <si>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</si>
  <si>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</si>
  <si>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</si>
  <si>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</si>
  <si>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</si>
  <si>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</si>
  <si>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</si>
  <si>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</si>
  <si>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</si>
  <si>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</si>
  <si>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</si>
  <si>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</si>
  <si>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</si>
  <si>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</si>
  <si>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</si>
  <si>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</si>
  <si>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</si>
  <si>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</si>
  <si>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</si>
  <si>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</si>
  <si>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</si>
  <si>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</si>
  <si>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</si>
  <si>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</si>
  <si>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</si>
  <si>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</si>
  <si>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</si>
  <si>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</si>
  <si>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</si>
  <si>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</si>
  <si>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</si>
  <si>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</si>
  <si>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</si>
  <si>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</si>
  <si>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</si>
  <si>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</si>
  <si>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</si>
  <si>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</si>
  <si>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</si>
  <si>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</si>
  <si>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</si>
  <si>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</si>
  <si>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</si>
  <si>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</si>
  <si>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</si>
  <si>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</si>
  <si>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</si>
  <si>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</si>
  <si>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</si>
  <si>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</si>
  <si>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</si>
  <si>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</si>
  <si>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</si>
  <si>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</si>
  <si>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</si>
  <si>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</si>
  <si>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</si>
  <si>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</si>
  <si>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</si>
  <si>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</si>
  <si>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</si>
  <si>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</si>
  <si>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</si>
  <si>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</si>
  <si>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</si>
  <si>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</si>
  <si>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</si>
  <si>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</si>
  <si>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</si>
  <si>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</si>
  <si>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</si>
  <si>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</si>
  <si>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</si>
  <si>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</si>
  <si>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</si>
  <si>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</si>
  <si>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</si>
  <si>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</si>
  <si>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</si>
  <si>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</si>
  <si>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</si>
  <si>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</si>
  <si>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</si>
  <si>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</si>
  <si>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</si>
  <si>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</si>
  <si>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</si>
  <si>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</si>
  <si>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</si>
  <si>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</si>
  <si>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</si>
  <si>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</si>
  <si>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</si>
  <si>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</si>
  <si>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</si>
  <si>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</si>
  <si>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</si>
  <si>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</si>
  <si>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</si>
  <si>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</si>
  <si>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</si>
  <si>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</si>
  <si>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</si>
  <si>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</si>
  <si>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</si>
  <si>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</si>
  <si>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</si>
  <si>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</si>
  <si>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</si>
  <si>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</si>
  <si>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</si>
  <si>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</si>
  <si>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</si>
  <si>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</si>
  <si>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</si>
  <si>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</si>
  <si>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</si>
  <si>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</si>
  <si>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</si>
  <si>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</si>
  <si>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</si>
  <si>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</si>
  <si>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</si>
  <si>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</si>
  <si>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</si>
  <si>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</si>
  <si>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</si>
  <si>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</si>
  <si>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</si>
  <si>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</si>
  <si>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</si>
  <si>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</si>
  <si>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</si>
  <si>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</si>
  <si>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</si>
  <si>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</si>
  <si>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</si>
  <si>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</si>
  <si>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</si>
  <si>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</si>
  <si>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</si>
  <si>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</si>
  <si>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</si>
  <si>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</si>
  <si>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</si>
  <si>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</si>
  <si>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</si>
  <si>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</si>
  <si>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</si>
  <si>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</si>
  <si>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</si>
  <si>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</si>
  <si>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</si>
  <si>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</si>
  <si>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</si>
  <si>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</si>
  <si>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</si>
  <si>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</si>
  <si>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</si>
  <si>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</si>
  <si>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</si>
  <si>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</si>
  <si>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</si>
  <si>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</si>
  <si>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</si>
  <si>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</si>
  <si>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</si>
  <si>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</si>
  <si>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</si>
  <si>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</si>
  <si>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</si>
  <si>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</si>
  <si>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</si>
  <si>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</si>
  <si>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</si>
  <si>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</si>
  <si>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</si>
  <si>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</si>
  <si>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</si>
  <si>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</si>
  <si>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</si>
  <si>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</si>
  <si>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</si>
  <si>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</si>
  <si>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</si>
  <si>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</si>
  <si>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</si>
  <si>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</si>
  <si>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</si>
  <si>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</si>
  <si>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</si>
  <si>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</si>
  <si>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</si>
  <si>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</si>
  <si>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</si>
  <si>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</si>
  <si>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</si>
  <si>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</si>
  <si>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</si>
  <si>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</si>
  <si>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</si>
  <si>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</si>
  <si>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</si>
  <si>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</si>
  <si>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</si>
  <si>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</si>
  <si>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</si>
  <si>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</si>
  <si>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</si>
  <si>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</si>
  <si>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</si>
  <si>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</si>
  <si>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</si>
  <si>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</si>
  <si>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</si>
  <si>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</si>
  <si>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</si>
  <si>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</si>
  <si>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</si>
  <si>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</si>
  <si>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</si>
  <si>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</si>
  <si>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</si>
  <si>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</si>
  <si>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</si>
  <si>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</si>
  <si>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</si>
  <si>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</si>
  <si>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</si>
  <si>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</si>
  <si>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</si>
  <si>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</si>
  <si>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</si>
  <si>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</si>
  <si>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</si>
  <si>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</si>
  <si>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</si>
  <si>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</si>
  <si>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</si>
  <si>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</si>
  <si>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</si>
  <si>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</si>
  <si>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</si>
  <si>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</si>
  <si>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</si>
  <si>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</si>
  <si>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</si>
  <si>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</si>
  <si>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</si>
  <si>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</si>
  <si>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</si>
  <si>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</si>
  <si>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</si>
  <si>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</si>
  <si>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</si>
  <si>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</si>
  <si>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</si>
  <si>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</si>
  <si>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</si>
  <si>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</si>
  <si>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</si>
  <si>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</si>
  <si>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</si>
  <si>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</si>
  <si>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</si>
  <si>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</si>
  <si>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</si>
  <si>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</si>
  <si>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</si>
  <si>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</si>
  <si>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</si>
  <si>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</si>
  <si>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</si>
  <si>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</si>
  <si>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</si>
  <si>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</si>
  <si>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</si>
  <si>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</si>
  <si>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</si>
  <si>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</si>
  <si>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</si>
  <si>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</si>
  <si>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</si>
  <si>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</si>
  <si>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</si>
  <si>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</si>
  <si>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</si>
  <si>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</si>
  <si>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</si>
  <si>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</si>
  <si>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</si>
  <si>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</si>
  <si>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</si>
  <si>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</si>
  <si>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</si>
  <si>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</si>
  <si>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</si>
  <si>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</si>
  <si>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</si>
  <si>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</si>
  <si>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</si>
  <si>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</si>
  <si>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</si>
  <si>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</si>
  <si>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</si>
  <si>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</si>
  <si>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</si>
  <si>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</si>
  <si>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</si>
  <si>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</si>
  <si>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</si>
  <si>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</si>
  <si>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</si>
  <si>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</si>
  <si>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</si>
  <si>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</si>
  <si>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</si>
  <si>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</si>
  <si>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</si>
  <si>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</si>
  <si>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</si>
  <si>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</si>
  <si>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</si>
  <si>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</si>
  <si>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</si>
  <si>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</si>
  <si>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</si>
  <si>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</si>
  <si>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</si>
  <si>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</si>
  <si>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</si>
  <si>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</si>
  <si>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</si>
  <si>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</si>
  <si>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</si>
  <si>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</si>
  <si>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</si>
  <si>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</si>
  <si>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</si>
  <si>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</si>
  <si>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</si>
  <si>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</si>
  <si>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</si>
  <si>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</si>
  <si>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</si>
  <si>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</si>
  <si>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</si>
  <si>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</si>
  <si>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</si>
  <si>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</si>
  <si>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</si>
  <si>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</si>
  <si>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</si>
  <si>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</si>
  <si>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</si>
  <si>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</si>
  <si>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</si>
  <si>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</si>
  <si>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</si>
  <si>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</si>
  <si>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</si>
  <si>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</si>
  <si>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</si>
  <si>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</si>
  <si>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</si>
  <si>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</si>
  <si>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</si>
  <si>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</si>
  <si>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</si>
  <si>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</si>
  <si>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</si>
  <si>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</si>
  <si>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</si>
  <si>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</si>
  <si>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</si>
  <si>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</si>
  <si>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</si>
  <si>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</si>
  <si>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</si>
  <si>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</si>
  <si>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</si>
  <si>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</si>
  <si>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</si>
  <si>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</si>
  <si>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</si>
  <si>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</si>
  <si>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</si>
  <si>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</si>
  <si>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</si>
  <si>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</si>
  <si>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</si>
  <si>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</si>
  <si>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</si>
  <si>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</si>
  <si>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</si>
  <si>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</si>
  <si>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</si>
  <si>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</si>
  <si>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</si>
  <si>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</si>
  <si>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</si>
  <si>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</si>
  <si>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</si>
  <si>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</si>
  <si>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</si>
  <si>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</si>
  <si>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</si>
  <si>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</si>
  <si>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</si>
  <si>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</si>
  <si>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</si>
  <si>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</si>
  <si>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</si>
  <si>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</si>
  <si>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</si>
  <si>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</si>
  <si>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</si>
  <si>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</si>
  <si>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</si>
  <si>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</si>
  <si>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</si>
  <si>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</si>
  <si>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</si>
  <si>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</si>
  <si>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</si>
  <si>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</si>
  <si>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</si>
  <si>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</si>
  <si>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</si>
  <si>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</si>
  <si>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</si>
  <si>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</si>
  <si>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</si>
  <si>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</si>
  <si>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</si>
  <si>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</si>
  <si>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</si>
  <si>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</si>
  <si>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</si>
  <si>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</si>
  <si>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</si>
  <si>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</si>
  <si>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</si>
  <si>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</si>
  <si>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</si>
  <si>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</si>
  <si>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</si>
  <si>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</si>
  <si>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</si>
  <si>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</si>
  <si>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</si>
  <si>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</si>
  <si>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</si>
  <si>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</si>
  <si>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</si>
  <si>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</si>
  <si>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</si>
  <si>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</si>
  <si>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</si>
  <si>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</si>
  <si>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</si>
  <si>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</si>
  <si>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</si>
  <si>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</si>
  <si>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</si>
  <si>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</si>
  <si>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</si>
  <si>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</si>
  <si>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</si>
  <si>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</si>
  <si>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</si>
  <si>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</si>
  <si>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</si>
  <si>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</si>
  <si>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</si>
  <si>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</si>
  <si>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</si>
  <si>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</si>
  <si>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</si>
  <si>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</si>
  <si>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</si>
  <si>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</si>
  <si>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</si>
  <si>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</si>
  <si>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</si>
  <si>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</si>
  <si>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</si>
  <si>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</si>
  <si>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</si>
  <si>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</si>
  <si>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</si>
  <si>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</si>
  <si>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</si>
  <si>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</si>
  <si>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</si>
  <si>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</si>
  <si>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</si>
  <si>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</si>
  <si>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</si>
  <si>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</si>
  <si>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</si>
  <si>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</si>
  <si>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</si>
  <si>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</si>
  <si>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</si>
  <si>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</si>
  <si>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</si>
  <si>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</si>
  <si>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</si>
  <si>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</si>
  <si>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</si>
  <si>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</si>
  <si>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</si>
  <si>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</si>
  <si>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</si>
  <si>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</si>
  <si>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</si>
  <si>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</si>
  <si>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</si>
  <si>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</si>
  <si>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</si>
  <si>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</si>
  <si>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</si>
  <si>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</si>
  <si>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</si>
  <si>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</si>
  <si>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</si>
  <si>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</si>
  <si>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</si>
  <si>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</si>
  <si>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</si>
  <si>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</si>
  <si>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</si>
  <si>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</si>
  <si>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</si>
  <si>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</si>
  <si>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</si>
  <si>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</si>
  <si>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</si>
  <si>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</si>
  <si>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</si>
  <si>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</si>
  <si>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</si>
  <si>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</si>
  <si>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</si>
  <si>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</si>
  <si>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</si>
  <si>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</si>
  <si>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</si>
  <si>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</si>
  <si>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</si>
  <si>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</si>
  <si>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</si>
  <si>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</si>
  <si>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</si>
  <si>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</si>
  <si>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</si>
  <si>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</si>
  <si>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</si>
  <si>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</si>
  <si>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</si>
  <si>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</si>
  <si>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</si>
  <si>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</si>
  <si>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</si>
  <si>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</si>
  <si>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</si>
  <si>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</si>
  <si>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</si>
  <si>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</si>
  <si>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</si>
  <si>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</si>
  <si>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</si>
  <si>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</si>
  <si>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</si>
  <si>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</si>
  <si>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</si>
  <si>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</si>
  <si>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</si>
  <si>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</si>
  <si>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</si>
  <si>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</si>
  <si>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</si>
  <si>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</si>
  <si>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</si>
  <si>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</si>
  <si>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</si>
  <si>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</si>
  <si>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</si>
  <si>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</si>
  <si>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</si>
  <si>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</si>
  <si>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</si>
  <si>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</si>
  <si>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</si>
  <si>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</si>
  <si>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</si>
  <si>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</si>
  <si>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</si>
  <si>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</si>
  <si>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</si>
  <si>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</si>
  <si>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</si>
  <si>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</si>
  <si>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</si>
  <si>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</si>
  <si>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</si>
  <si>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</si>
  <si>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</si>
  <si>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</si>
  <si>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</si>
  <si>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</si>
  <si>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</si>
  <si>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</si>
  <si>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</si>
  <si>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</si>
  <si>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</si>
  <si>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</si>
  <si>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</si>
  <si>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</si>
  <si>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</si>
  <si>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</si>
  <si>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</si>
  <si>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</si>
  <si>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</si>
  <si>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</si>
  <si>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</si>
  <si>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</si>
  <si>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</si>
  <si>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</si>
  <si>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</si>
  <si>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</si>
  <si>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</si>
  <si>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</si>
  <si>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</si>
  <si>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</si>
  <si>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</si>
  <si>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</si>
  <si>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</si>
  <si>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</si>
  <si>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</si>
  <si>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</si>
  <si>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</si>
  <si>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</si>
  <si>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</si>
  <si>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</si>
  <si>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</si>
  <si>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</si>
  <si>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</si>
  <si>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</si>
  <si>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</si>
  <si>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</si>
  <si>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</si>
  <si>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</si>
  <si>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</si>
  <si>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</si>
  <si>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</si>
  <si>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</si>
  <si>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</si>
  <si>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</si>
  <si>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</si>
  <si>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</si>
  <si>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</si>
  <si>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</si>
  <si>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</si>
  <si>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</si>
  <si>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</si>
  <si>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</si>
  <si>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</si>
  <si>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</si>
  <si>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</si>
  <si>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</si>
  <si>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</si>
  <si>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</si>
  <si>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</si>
  <si>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</si>
  <si>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</si>
  <si>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</si>
  <si>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</si>
  <si>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</si>
  <si>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</si>
  <si>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</si>
  <si>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</si>
  <si>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</si>
  <si>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</si>
  <si>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</si>
  <si>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</si>
  <si>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</si>
  <si>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</si>
  <si>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</si>
  <si>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</si>
  <si>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</si>
  <si>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</si>
  <si>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</si>
  <si>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</si>
  <si>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</si>
  <si>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</si>
  <si>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</si>
  <si>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</si>
  <si>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</si>
  <si>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</si>
  <si>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</si>
  <si>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</si>
  <si>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</si>
  <si>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</si>
  <si>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</si>
  <si>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</si>
  <si>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</si>
  <si>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</si>
  <si>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</si>
  <si>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</si>
  <si>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</si>
  <si>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</si>
  <si>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</si>
  <si>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</si>
  <si>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</si>
  <si>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</si>
  <si>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</si>
  <si>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</si>
  <si>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</si>
  <si>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</si>
  <si>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</si>
  <si>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</si>
  <si>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</si>
  <si>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</si>
  <si>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</si>
  <si>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</si>
  <si>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</si>
  <si>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</si>
  <si>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</si>
  <si>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</si>
  <si>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</si>
  <si>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</si>
  <si>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</si>
  <si>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</si>
  <si>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</si>
  <si>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</si>
  <si>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</si>
  <si>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</si>
  <si>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</si>
  <si>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</si>
  <si>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</si>
  <si>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</si>
  <si>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</si>
  <si>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</si>
  <si>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</si>
  <si>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</si>
  <si>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</si>
  <si>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</si>
  <si>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</si>
  <si>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</si>
  <si>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</si>
  <si>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</si>
  <si>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</si>
  <si>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</si>
  <si>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</si>
  <si>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</si>
  <si>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</si>
  <si>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</si>
  <si>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</si>
  <si>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</si>
  <si>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</si>
  <si>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</si>
  <si>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</si>
  <si>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</si>
  <si>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</si>
  <si>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</si>
  <si>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</si>
  <si>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</si>
  <si>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</si>
  <si>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</si>
  <si>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</si>
  <si>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</si>
  <si>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</si>
  <si>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</si>
  <si>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</si>
  <si>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</si>
  <si>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</si>
  <si>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</si>
  <si>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</si>
  <si>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</si>
  <si>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</si>
  <si>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</si>
  <si>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</si>
  <si>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</si>
  <si>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</si>
  <si>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</si>
  <si>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</si>
  <si>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</si>
  <si>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</si>
  <si>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</si>
  <si>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</si>
  <si>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</si>
  <si>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</si>
  <si>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</si>
  <si>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</si>
  <si>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</si>
  <si>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</si>
  <si>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</si>
  <si>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</si>
  <si>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</si>
  <si>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</si>
  <si>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</si>
  <si>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</si>
  <si>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</si>
  <si>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</si>
  <si>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</si>
  <si>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</si>
  <si>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</si>
  <si>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</si>
  <si>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</si>
  <si>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</si>
  <si>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</si>
  <si>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</si>
  <si>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</si>
  <si>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</si>
  <si>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</si>
  <si>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</si>
  <si>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</si>
  <si>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</si>
  <si>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</si>
  <si>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</si>
  <si>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</si>
  <si>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</si>
  <si>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</si>
  <si>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</si>
  <si>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</si>
  <si>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</si>
  <si>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</si>
  <si>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</si>
  <si>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</si>
  <si>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</si>
  <si>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</si>
  <si>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</si>
  <si>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</si>
  <si>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</si>
  <si>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</si>
  <si>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</si>
  <si>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</si>
  <si>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</si>
  <si>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</si>
  <si>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</si>
  <si>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</si>
  <si>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</si>
  <si>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</si>
  <si>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</si>
  <si>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</si>
  <si>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</si>
  <si>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</si>
  <si>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</si>
  <si>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</si>
  <si>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</si>
  <si>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</si>
  <si>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</si>
  <si>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</si>
  <si>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</si>
  <si>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</si>
  <si>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</si>
  <si>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</si>
  <si>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</si>
  <si>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</si>
  <si>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</si>
  <si>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</si>
  <si>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</si>
  <si>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</si>
  <si>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</si>
  <si>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</si>
  <si>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</si>
  <si>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</si>
  <si>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</si>
  <si>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</si>
  <si>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</si>
  <si>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</si>
  <si>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</si>
  <si>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</si>
  <si>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</si>
  <si>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</si>
  <si>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</si>
  <si>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</si>
  <si>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</si>
  <si>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</si>
  <si>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</si>
  <si>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</si>
  <si>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</si>
  <si>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</si>
  <si>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</si>
  <si>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</si>
  <si>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</si>
  <si>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</si>
  <si>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</si>
  <si>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</si>
  <si>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</si>
  <si>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</si>
  <si>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</si>
  <si>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</si>
  <si>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</si>
  <si>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</si>
  <si>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</si>
  <si>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</si>
  <si>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</si>
  <si>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</si>
  <si>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</si>
  <si>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</si>
  <si>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</si>
  <si>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</si>
  <si>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</si>
  <si>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</si>
  <si>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</si>
  <si>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</si>
  <si>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</si>
  <si>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</si>
  <si>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</si>
  <si>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</si>
  <si>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</si>
  <si>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</si>
  <si>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</si>
  <si>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</si>
  <si>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</si>
  <si>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</si>
  <si>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</si>
  <si>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</si>
  <si>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</si>
  <si>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</si>
  <si>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</si>
  <si>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</si>
  <si>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</si>
  <si>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</si>
  <si>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</si>
  <si>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</si>
  <si>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</si>
  <si>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</si>
  <si>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</si>
  <si>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</si>
  <si>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</si>
  <si>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</si>
  <si>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</si>
  <si>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</si>
  <si>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</si>
  <si>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</si>
  <si>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</si>
  <si>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</si>
  <si>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</si>
  <si>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</si>
  <si>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</si>
  <si>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</si>
  <si>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</si>
  <si>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</si>
  <si>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</si>
  <si>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</si>
  <si>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</si>
  <si>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</si>
  <si>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</si>
  <si>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</si>
  <si>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</si>
  <si>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</si>
  <si>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</si>
  <si>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</si>
  <si>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</si>
  <si>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</si>
  <si>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</si>
  <si>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</si>
  <si>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</si>
  <si>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</si>
  <si>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</si>
  <si>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</si>
  <si>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</si>
  <si>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</si>
  <si>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</si>
  <si>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</si>
  <si>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</si>
  <si>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</si>
  <si>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</si>
  <si>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</si>
  <si>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</si>
  <si>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</si>
  <si>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</si>
  <si>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</si>
  <si>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</si>
  <si>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</si>
  <si>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</si>
  <si>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</si>
  <si>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</si>
  <si>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</si>
  <si>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</si>
  <si>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</si>
  <si>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</si>
  <si>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</si>
  <si>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</si>
  <si>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</si>
  <si>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</si>
  <si>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</si>
  <si>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</si>
  <si>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</si>
  <si>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</si>
  <si>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</si>
  <si>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</si>
  <si>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</si>
  <si>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</si>
  <si>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</si>
  <si>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</si>
  <si>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</si>
  <si>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</si>
  <si>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</si>
  <si>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</si>
  <si>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</si>
  <si>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</si>
  <si>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</si>
  <si>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</si>
  <si>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</si>
  <si>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</si>
  <si>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</si>
  <si>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</si>
  <si>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</si>
  <si>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</si>
  <si>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</si>
  <si>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</si>
  <si>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</si>
  <si>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</si>
  <si>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</si>
  <si>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</si>
  <si>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</si>
  <si>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</si>
  <si>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</si>
  <si>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</si>
  <si>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</si>
  <si>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</si>
  <si>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</si>
  <si>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</si>
  <si>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</si>
  <si>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</si>
  <si>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</si>
  <si>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</si>
  <si>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</si>
  <si>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</si>
  <si>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</si>
  <si>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</si>
  <si>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</si>
  <si>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</si>
  <si>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</si>
  <si>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</si>
  <si>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</si>
  <si>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</si>
  <si>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</si>
  <si>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</si>
  <si>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</si>
  <si>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</si>
  <si>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</si>
  <si>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</si>
  <si>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</si>
  <si>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</si>
  <si>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</si>
  <si>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</si>
  <si>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</si>
  <si>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</si>
  <si>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</si>
  <si>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</si>
  <si>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</si>
  <si>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</si>
  <si>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</si>
  <si>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</si>
  <si>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</si>
  <si>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</si>
  <si>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</si>
  <si>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</si>
  <si>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</si>
  <si>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</si>
  <si>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</si>
  <si>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</si>
  <si>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</si>
  <si>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</si>
  <si>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</si>
  <si>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</si>
  <si>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</si>
  <si>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</si>
  <si>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</si>
  <si>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</si>
  <si>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</si>
  <si>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</si>
  <si>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</si>
  <si>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</si>
  <si>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</si>
  <si>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</si>
  <si>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</si>
  <si>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</si>
  <si>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</si>
  <si>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</si>
  <si>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</si>
  <si>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</si>
  <si>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</si>
  <si>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</si>
  <si>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</si>
  <si>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</si>
  <si>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</si>
  <si>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</si>
  <si>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</si>
  <si>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</si>
  <si>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</si>
  <si>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</si>
  <si>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</si>
  <si>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</si>
  <si>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</si>
  <si>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</si>
  <si>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</si>
  <si>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</si>
  <si>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</si>
  <si>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</si>
  <si>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</si>
  <si>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</si>
  <si>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</si>
  <si>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</si>
  <si>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</si>
  <si>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</si>
  <si>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</si>
  <si>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</si>
  <si>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</si>
  <si>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</si>
  <si>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</si>
  <si>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</si>
  <si>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</si>
  <si>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</si>
  <si>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</si>
  <si>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</si>
  <si>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</si>
  <si>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</si>
  <si>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</si>
  <si>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</si>
  <si>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</si>
  <si>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</si>
  <si>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</si>
  <si>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</si>
  <si>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</si>
  <si>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</si>
  <si>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</si>
  <si>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</si>
  <si>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</si>
  <si>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</si>
  <si>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</si>
  <si>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</si>
  <si>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</si>
  <si>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</si>
  <si>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</si>
  <si>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</si>
  <si>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</si>
  <si>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</si>
  <si>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</si>
  <si>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</si>
  <si>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</si>
  <si>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</si>
  <si>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</si>
  <si>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</si>
  <si>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</si>
  <si>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</si>
  <si>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</si>
  <si>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</si>
  <si>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</si>
  <si>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</si>
  <si>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</si>
  <si>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</si>
  <si>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</si>
  <si>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</si>
  <si>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</si>
  <si>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</si>
  <si>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</si>
  <si>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</si>
  <si>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</si>
  <si>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</si>
  <si>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</si>
  <si>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</si>
  <si>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</si>
  <si>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</si>
  <si>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</si>
  <si>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</si>
  <si>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</si>
  <si>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</si>
  <si>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</si>
  <si>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</si>
  <si>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</si>
  <si>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</si>
  <si>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</si>
  <si>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</si>
  <si>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</si>
  <si>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</si>
  <si>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</si>
  <si>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</si>
  <si>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</si>
  <si>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</si>
  <si>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</si>
  <si>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</si>
  <si>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</si>
  <si>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</si>
  <si>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</si>
  <si>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</si>
  <si>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</si>
  <si>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</si>
  <si>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</si>
  <si>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</si>
  <si>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</si>
  <si>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</si>
  <si>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</si>
  <si>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</si>
  <si>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</si>
  <si>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</si>
  <si>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</si>
  <si>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</si>
  <si>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</si>
  <si>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</si>
  <si>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</si>
  <si>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</si>
  <si>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</si>
  <si>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</si>
  <si>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</si>
  <si>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</si>
  <si>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</si>
  <si>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</si>
  <si>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</si>
  <si>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</si>
  <si>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</si>
  <si>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</si>
  <si>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</si>
  <si>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</si>
  <si>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</si>
  <si>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</si>
  <si>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</si>
  <si>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</si>
  <si>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</si>
  <si>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</si>
  <si>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</si>
  <si>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</si>
  <si>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</si>
  <si>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</si>
  <si>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</si>
  <si>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</si>
  <si>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</si>
  <si>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</si>
  <si>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</si>
  <si>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</si>
  <si>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</si>
  <si>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</si>
  <si>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</si>
  <si>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</si>
  <si>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</si>
  <si>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</si>
  <si>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</si>
  <si>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</si>
  <si>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</si>
  <si>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</si>
  <si>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</si>
  <si>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</si>
  <si>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</si>
  <si>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</si>
  <si>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</si>
  <si>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</si>
  <si>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</si>
  <si>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</si>
  <si>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</si>
  <si>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</si>
  <si>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</si>
  <si>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</si>
  <si>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</si>
  <si>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</si>
  <si>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</si>
  <si>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</si>
  <si>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</si>
  <si>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</si>
  <si>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</si>
  <si>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</si>
  <si>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</si>
  <si>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</si>
  <si>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</si>
  <si>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</si>
  <si>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</si>
  <si>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</si>
  <si>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</si>
  <si>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</si>
  <si>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</si>
  <si>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</si>
  <si>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</si>
  <si>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</si>
  <si>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</si>
  <si>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</si>
  <si>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</si>
  <si>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</si>
  <si>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</si>
  <si>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</si>
  <si>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</si>
  <si>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</si>
  <si>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</si>
  <si>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</si>
  <si>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</si>
  <si>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</si>
  <si>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</si>
  <si>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</si>
  <si>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</si>
  <si>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</si>
  <si>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</si>
  <si>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</si>
  <si>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</si>
  <si>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</si>
  <si>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</si>
  <si>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</si>
  <si>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</si>
  <si>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</si>
  <si>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</si>
  <si>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</si>
  <si>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</si>
  <si>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</si>
  <si>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</si>
  <si>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</si>
  <si>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</si>
  <si>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</si>
  <si>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</si>
  <si>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</si>
  <si>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</si>
  <si>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</si>
  <si>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</si>
  <si>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</si>
  <si>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</si>
  <si>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</si>
  <si>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</si>
  <si>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</si>
  <si>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</si>
  <si>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</si>
  <si>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</si>
  <si>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</si>
  <si>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</si>
  <si>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</si>
  <si>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</si>
  <si>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</si>
  <si>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</si>
  <si>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</si>
  <si>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</si>
  <si>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</si>
  <si>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</si>
  <si>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</si>
  <si>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</si>
  <si>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</si>
  <si>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</si>
  <si>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</si>
  <si>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</si>
  <si>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</si>
  <si>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</si>
  <si>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</si>
  <si>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</si>
  <si>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</si>
  <si>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</si>
  <si>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</si>
  <si>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</si>
  <si>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</si>
  <si>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</si>
  <si>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</si>
  <si>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</si>
  <si>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</si>
  <si>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</si>
  <si>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</si>
  <si>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</si>
  <si>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</si>
  <si>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</si>
  <si>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</si>
  <si>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</si>
  <si>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</si>
  <si>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</si>
  <si>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</si>
  <si>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</si>
  <si>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</si>
  <si>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</si>
  <si>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</si>
  <si>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</si>
  <si>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</si>
  <si>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</si>
  <si>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</si>
  <si>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</si>
  <si>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</si>
  <si>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</si>
  <si>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</si>
  <si>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</si>
  <si>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</si>
  <si>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</si>
  <si>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</si>
  <si>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</si>
  <si>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</si>
  <si>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</si>
  <si>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</si>
  <si>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</si>
  <si>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</si>
  <si>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</si>
  <si>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</si>
  <si>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</si>
  <si>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</si>
  <si>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</si>
  <si>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</si>
  <si>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</si>
  <si>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</si>
  <si>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</si>
  <si>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</si>
  <si>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</si>
  <si>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</si>
  <si>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</si>
  <si>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</si>
  <si>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</si>
  <si>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</si>
  <si>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</si>
  <si>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</si>
  <si>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</si>
  <si>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</si>
  <si>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</si>
  <si>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</si>
  <si>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</si>
  <si>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</si>
  <si>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</si>
  <si>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</si>
  <si>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</si>
  <si>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</si>
  <si>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</si>
  <si>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</si>
  <si>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</si>
  <si>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</si>
  <si>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</si>
  <si>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</si>
  <si>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</si>
  <si>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</si>
  <si>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</si>
  <si>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</si>
  <si>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</si>
  <si>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</si>
  <si>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</si>
  <si>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</si>
  <si>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</si>
  <si>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</si>
  <si>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</si>
  <si>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</si>
  <si>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</si>
  <si>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</si>
  <si>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</si>
  <si>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</si>
  <si>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</si>
  <si>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</si>
  <si>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</si>
  <si>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</si>
  <si>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</si>
  <si>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</si>
  <si>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</si>
  <si>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</si>
  <si>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</si>
  <si>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</si>
  <si>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</si>
  <si>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</si>
  <si>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</si>
  <si>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</si>
  <si>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</si>
  <si>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</si>
  <si>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</si>
  <si>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</si>
  <si>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</si>
  <si>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</si>
  <si>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</si>
  <si>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</si>
  <si>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</si>
  <si>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</si>
  <si>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</si>
  <si>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</si>
  <si>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</si>
  <si>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</si>
  <si>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</si>
  <si>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</si>
  <si>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</si>
  <si>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</si>
  <si>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</si>
  <si>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</si>
  <si>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</si>
  <si>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</si>
  <si>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</si>
  <si>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</si>
  <si>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</si>
  <si>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</si>
  <si>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</si>
  <si>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</si>
  <si>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</si>
  <si>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</si>
  <si>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</si>
  <si>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</si>
  <si>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</si>
  <si>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</si>
  <si>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</si>
  <si>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</si>
  <si>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</si>
  <si>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</si>
  <si>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</si>
  <si>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</si>
  <si>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</si>
  <si>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</si>
  <si>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</si>
  <si>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</si>
  <si>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</si>
  <si>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</si>
  <si>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</si>
  <si>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</si>
  <si>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</si>
  <si>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</si>
  <si>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</si>
  <si>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</si>
  <si>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</si>
  <si>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</si>
  <si>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</si>
  <si>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</si>
  <si>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</si>
  <si>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</si>
  <si>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</si>
  <si>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</si>
  <si>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</si>
  <si>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</si>
  <si>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</si>
  <si>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</si>
  <si>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</si>
  <si>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</si>
  <si>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</si>
  <si>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</si>
  <si>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</si>
  <si>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</si>
  <si>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</si>
  <si>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</si>
  <si>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</si>
  <si>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</si>
  <si>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</si>
  <si>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</si>
  <si>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</si>
  <si>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</si>
  <si>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</si>
  <si>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</si>
  <si>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</si>
  <si>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</si>
  <si>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</si>
  <si>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</si>
  <si>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</si>
  <si>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</si>
  <si>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</si>
  <si>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</si>
  <si>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</si>
  <si>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</si>
  <si>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</si>
  <si>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</si>
  <si>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</si>
  <si>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</si>
  <si>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</si>
  <si>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</si>
  <si>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</si>
  <si>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</si>
  <si>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</si>
  <si>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</si>
  <si>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</si>
  <si>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</si>
  <si>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</si>
  <si>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</si>
  <si>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</si>
  <si>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</si>
  <si>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</si>
  <si>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</si>
  <si>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</si>
  <si>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</si>
  <si>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</si>
  <si>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</si>
  <si>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</si>
  <si>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</si>
  <si>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</si>
  <si>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</si>
  <si>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</si>
  <si>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</si>
  <si>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</si>
  <si>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</si>
  <si>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</si>
  <si>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</si>
  <si>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</si>
  <si>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</si>
  <si>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</si>
  <si>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</si>
  <si>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</si>
  <si>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</si>
  <si>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</si>
  <si>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</si>
  <si>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</si>
  <si>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</si>
  <si>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</si>
  <si>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</si>
  <si>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</si>
  <si>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</si>
  <si>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</si>
  <si>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</si>
  <si>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</si>
  <si>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</si>
  <si>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</si>
  <si>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</si>
  <si>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</si>
  <si>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</si>
  <si>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</si>
  <si>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</si>
  <si>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</si>
  <si>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</si>
  <si>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</si>
  <si>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</si>
  <si>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</si>
  <si>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</si>
  <si>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</si>
  <si>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</si>
  <si>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</si>
  <si>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</si>
  <si>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</si>
  <si>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</si>
  <si>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</si>
  <si>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</si>
  <si>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</si>
  <si>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</si>
  <si>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</si>
  <si>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</si>
  <si>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</si>
  <si>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</si>
  <si>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</si>
  <si>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</si>
  <si>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</si>
  <si>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</si>
  <si>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</si>
  <si>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</si>
  <si>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</si>
  <si>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</si>
  <si>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</si>
  <si>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</si>
  <si>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</si>
  <si>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</si>
  <si>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</si>
  <si>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</si>
  <si>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</si>
  <si>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</si>
  <si>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</si>
  <si>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</si>
  <si>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</si>
  <si>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</si>
  <si>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</si>
  <si>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</si>
  <si>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</si>
  <si>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</si>
  <si>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</si>
  <si>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</si>
  <si>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</si>
  <si>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</si>
  <si>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</si>
  <si>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</si>
  <si>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</si>
  <si>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</si>
  <si>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</si>
  <si>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</si>
  <si>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</si>
  <si>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</si>
  <si>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</si>
  <si>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</si>
  <si>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</si>
  <si>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</si>
  <si>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</si>
  <si>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</si>
  <si>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</si>
  <si>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</si>
  <si>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</si>
  <si>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</si>
  <si>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</si>
  <si>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</si>
  <si>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</si>
  <si>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</si>
  <si>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</si>
  <si>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</si>
  <si>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</si>
  <si>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</si>
  <si>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</si>
  <si>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</si>
  <si>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</si>
  <si>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</si>
  <si>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</si>
  <si>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</si>
  <si>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</si>
  <si>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</si>
  <si>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</si>
  <si>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</si>
  <si>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</si>
  <si>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</si>
  <si>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</si>
  <si>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</si>
  <si>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</si>
  <si>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</si>
  <si>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</si>
  <si>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</si>
  <si>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</si>
  <si>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</si>
  <si>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</si>
  <si>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</si>
  <si>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</si>
  <si>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</si>
  <si>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</si>
  <si>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</si>
  <si>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</si>
  <si>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</si>
  <si>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</si>
  <si>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</si>
  <si>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</si>
  <si>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</si>
  <si>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</si>
  <si>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</si>
  <si>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</si>
  <si>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</si>
  <si>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</si>
  <si>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</si>
  <si>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</si>
  <si>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</si>
  <si>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</si>
  <si>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</si>
  <si>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</si>
  <si>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</si>
  <si>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</si>
  <si>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</si>
  <si>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</si>
  <si>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</si>
  <si>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</si>
  <si>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</si>
  <si>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</si>
  <si>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</si>
  <si>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</si>
  <si>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</si>
  <si>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</si>
  <si>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</si>
  <si>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</si>
  <si>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</si>
  <si>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</si>
  <si>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</si>
  <si>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</si>
  <si>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</si>
  <si>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</si>
  <si>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</si>
  <si>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</si>
  <si>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</si>
  <si>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</si>
  <si>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</si>
  <si>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</si>
  <si>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</si>
  <si>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</si>
  <si>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</si>
  <si>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</si>
  <si>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</si>
  <si>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</si>
  <si>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</si>
  <si>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</si>
  <si>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</si>
  <si>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</si>
  <si>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</si>
  <si>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</si>
  <si>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</si>
  <si>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</si>
  <si>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</si>
  <si>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</si>
  <si>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</si>
  <si>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</si>
  <si>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</si>
  <si>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</si>
  <si>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</si>
  <si>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</si>
  <si>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</si>
  <si>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</si>
  <si>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</si>
  <si>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</si>
  <si>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</si>
  <si>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</si>
  <si>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</si>
  <si>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</si>
  <si>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</si>
  <si>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</si>
  <si>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</si>
  <si>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</si>
  <si>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</si>
  <si>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</si>
  <si>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</si>
  <si>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</si>
  <si>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</si>
  <si>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</si>
  <si>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</si>
  <si>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</si>
  <si>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</si>
  <si>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</si>
  <si>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</si>
  <si>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</si>
  <si>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</si>
  <si>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</si>
  <si>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</si>
  <si>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</si>
  <si>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</si>
  <si>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</si>
  <si>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</si>
  <si>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</si>
  <si>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</si>
  <si>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</si>
  <si>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</si>
  <si>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</si>
  <si>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</si>
  <si>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</si>
  <si>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</si>
  <si>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</si>
  <si>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</si>
  <si>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</si>
  <si>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</si>
  <si>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</si>
  <si>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</si>
  <si>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</si>
  <si>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</si>
  <si>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</si>
  <si>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</si>
  <si>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</si>
  <si>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</si>
  <si>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</si>
  <si>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</si>
  <si>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</si>
  <si>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</si>
  <si>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</si>
  <si>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</si>
  <si>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</si>
  <si>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</si>
  <si>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</si>
  <si>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</si>
  <si>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</si>
  <si>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</si>
  <si>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</si>
  <si>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</si>
  <si>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</si>
  <si>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</si>
  <si>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</si>
  <si>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</si>
  <si>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</si>
  <si>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</si>
  <si>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</si>
  <si>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</si>
  <si>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</si>
  <si>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</si>
  <si>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</si>
  <si>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</si>
  <si>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</si>
  <si>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</si>
  <si>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</si>
  <si>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</si>
  <si>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</si>
  <si>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</si>
  <si>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</si>
  <si>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</si>
  <si>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</si>
  <si>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</si>
  <si>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</si>
  <si>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</si>
  <si>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</si>
  <si>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</si>
  <si>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</si>
  <si>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</si>
  <si>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</si>
  <si>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</si>
  <si>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</si>
  <si>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</si>
  <si>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</si>
  <si>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</si>
  <si>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</si>
  <si>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</si>
  <si>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</si>
  <si>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</si>
  <si>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</si>
  <si>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</si>
  <si>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</si>
  <si>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</si>
  <si>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</si>
  <si>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</si>
  <si>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</si>
  <si>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</si>
  <si>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</si>
  <si>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</si>
  <si>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</si>
  <si>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</si>
  <si>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</si>
  <si>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</si>
  <si>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</si>
  <si>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</si>
  <si>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</si>
  <si>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</si>
  <si>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</si>
  <si>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</si>
  <si>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</si>
  <si>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</si>
  <si>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</si>
  <si>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</si>
  <si>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</si>
  <si>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</si>
  <si>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</si>
  <si>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</si>
  <si>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</si>
  <si>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</si>
  <si>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</si>
  <si>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</si>
  <si>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</si>
  <si>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</si>
  <si>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</si>
  <si>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</si>
  <si>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</si>
  <si>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</si>
  <si>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</si>
  <si>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</si>
  <si>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</si>
  <si>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</si>
  <si>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</si>
  <si>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</si>
  <si>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</si>
  <si>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</si>
  <si>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</si>
  <si>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</si>
  <si>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</si>
  <si>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</si>
  <si>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</si>
  <si>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</si>
  <si>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</si>
  <si>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</si>
  <si>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</si>
  <si>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</si>
  <si>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</si>
  <si>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</si>
  <si>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</si>
  <si>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</si>
  <si>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</si>
  <si>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</si>
  <si>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</si>
  <si>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</si>
  <si>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</si>
  <si>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</si>
  <si>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</si>
  <si>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</si>
  <si>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</si>
  <si>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</si>
  <si>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</si>
  <si>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</si>
  <si>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</si>
  <si>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</si>
  <si>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</si>
  <si>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</si>
  <si>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</si>
  <si>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</si>
  <si>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</si>
  <si>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</si>
  <si>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</si>
  <si>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</si>
  <si>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</si>
  <si>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</si>
  <si>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</si>
  <si>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</si>
  <si>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</si>
  <si>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</si>
  <si>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</si>
  <si>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</si>
  <si>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</si>
  <si>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</si>
  <si>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</si>
  <si>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</si>
  <si>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</si>
  <si>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</si>
  <si>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</si>
  <si>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</si>
  <si>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</si>
  <si>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</si>
  <si>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</si>
  <si>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</si>
  <si>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</si>
  <si>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</si>
  <si>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</si>
  <si>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</si>
  <si>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</si>
  <si>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</si>
  <si>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</si>
  <si>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</si>
  <si>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</si>
  <si>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</si>
  <si>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</si>
  <si>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</si>
  <si>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</si>
  <si>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</si>
  <si>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</si>
  <si>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</si>
  <si>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</si>
  <si>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</si>
  <si>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</si>
  <si>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</si>
  <si>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</si>
  <si>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</si>
  <si>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</si>
  <si>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</si>
  <si>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</si>
  <si>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</si>
  <si>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</si>
  <si>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</si>
  <si>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</si>
  <si>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</si>
  <si>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</si>
  <si>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</si>
  <si>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</si>
  <si>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</si>
  <si>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</si>
  <si>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</si>
  <si>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</si>
  <si>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</si>
  <si>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</si>
  <si>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</si>
  <si>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</si>
  <si>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</si>
  <si>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</si>
  <si>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</si>
  <si>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</si>
  <si>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</si>
  <si>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</si>
  <si>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</si>
  <si>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</si>
  <si>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</si>
  <si>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</si>
  <si>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</si>
  <si>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</si>
  <si>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</si>
  <si>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</si>
  <si>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</si>
  <si>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</si>
  <si>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</si>
  <si>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</si>
  <si>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</si>
  <si>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</si>
  <si>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</si>
  <si>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</si>
  <si>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</si>
  <si>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</si>
  <si>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</si>
  <si>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</si>
  <si>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</si>
  <si>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</si>
  <si>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</si>
  <si>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</si>
  <si>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</si>
  <si>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</si>
  <si>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</si>
  <si>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</si>
  <si>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</si>
  <si>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</si>
  <si>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</si>
  <si>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</si>
  <si>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</si>
  <si>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</si>
  <si>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</si>
  <si>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</si>
  <si>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</si>
  <si>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</si>
  <si>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</si>
  <si>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</si>
  <si>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</si>
  <si>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</si>
  <si>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</si>
  <si>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</si>
  <si>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</si>
  <si>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</si>
  <si>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</si>
  <si>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</si>
  <si>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</si>
  <si>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</si>
  <si>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</si>
  <si>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</si>
  <si>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</si>
  <si>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</si>
  <si>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</si>
  <si>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</si>
  <si>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</si>
  <si>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</si>
  <si>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</si>
  <si>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</si>
  <si>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</si>
  <si>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</si>
  <si>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</si>
  <si>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</si>
  <si>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</si>
  <si>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</si>
  <si>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</si>
  <si>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</si>
  <si>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</si>
  <si>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</si>
  <si>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</si>
  <si>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</si>
  <si>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</si>
  <si>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</si>
  <si>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</si>
  <si>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</si>
  <si>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</si>
  <si>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</si>
  <si>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</si>
  <si>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</si>
  <si>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</si>
  <si>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</si>
  <si>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</si>
  <si>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</si>
  <si>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</si>
  <si>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</si>
  <si>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</si>
  <si>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</si>
  <si>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</si>
  <si>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</si>
  <si>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</si>
  <si>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</si>
  <si>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</si>
  <si>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</si>
  <si>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</si>
  <si>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</si>
  <si>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</si>
  <si>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</si>
  <si>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</si>
  <si>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</si>
  <si>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</si>
  <si>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</si>
  <si>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</si>
  <si>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</si>
  <si>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</si>
  <si>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</si>
  <si>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</si>
  <si>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</si>
  <si>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</si>
  <si>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</si>
  <si>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</si>
  <si>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</si>
  <si>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</si>
  <si>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</si>
  <si>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</si>
  <si>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</si>
  <si>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</si>
  <si>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</si>
  <si>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</si>
  <si>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</si>
  <si>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</si>
  <si>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</si>
  <si>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</si>
  <si>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</si>
  <si>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</si>
  <si>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</si>
  <si>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</si>
  <si>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</si>
  <si>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</si>
  <si>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</si>
  <si>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</si>
  <si>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</si>
  <si>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</si>
  <si>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</si>
  <si>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</si>
  <si>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</si>
  <si>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</si>
  <si>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</si>
  <si>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</si>
  <si>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</si>
  <si>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</si>
  <si>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</si>
  <si>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</si>
  <si>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</si>
  <si>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</si>
  <si>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</si>
  <si>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</si>
  <si>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</si>
  <si>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</si>
  <si>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</si>
  <si>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</si>
  <si>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</si>
  <si>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</si>
  <si>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</si>
  <si>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</si>
  <si>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</si>
  <si>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</si>
  <si>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</si>
  <si>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</si>
  <si>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</si>
  <si>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</si>
  <si>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</si>
  <si>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</si>
  <si>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</si>
  <si>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</si>
  <si>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</si>
  <si>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</si>
  <si>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</si>
  <si>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</si>
  <si>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</si>
  <si>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</si>
  <si>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</si>
  <si>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</si>
  <si>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</si>
  <si>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</si>
  <si>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</si>
  <si>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</si>
  <si>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</si>
  <si>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</si>
  <si>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</si>
  <si>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</si>
  <si>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</si>
  <si>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</si>
  <si>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</si>
  <si>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</si>
  <si>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</si>
  <si>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</si>
  <si>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</si>
  <si>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</si>
  <si>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</si>
  <si>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</si>
  <si>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</si>
  <si>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</si>
  <si>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</si>
  <si>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</si>
  <si>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</si>
  <si>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</si>
  <si>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</si>
  <si>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</si>
  <si>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</si>
  <si>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</si>
  <si>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</si>
  <si>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</si>
  <si>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</si>
  <si>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</si>
  <si>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</si>
  <si>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</si>
  <si>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</si>
  <si>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</si>
  <si>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</si>
  <si>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</si>
  <si>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</si>
  <si>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</si>
  <si>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</si>
  <si>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</si>
  <si>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</si>
  <si>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</si>
  <si>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</si>
  <si>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</si>
  <si>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</si>
  <si>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</si>
  <si>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</si>
  <si>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</si>
  <si>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</si>
  <si>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</si>
  <si>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</si>
  <si>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</si>
  <si>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</si>
  <si>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</si>
  <si>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</si>
  <si>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</si>
  <si>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</si>
  <si>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</si>
  <si>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</si>
  <si>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</si>
  <si>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</si>
  <si>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</si>
  <si>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</si>
  <si>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</si>
  <si>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</si>
  <si>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</si>
  <si>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</si>
  <si>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</si>
  <si>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</si>
  <si>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</si>
  <si>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</si>
  <si>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</si>
  <si>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</si>
  <si>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</si>
  <si>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</si>
  <si>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</si>
  <si>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</si>
  <si>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</si>
  <si>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</si>
  <si>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</si>
  <si>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</si>
  <si>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</si>
  <si>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</si>
  <si>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</si>
  <si>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</si>
  <si>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</si>
  <si>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</si>
  <si>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</si>
  <si>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</si>
  <si>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</si>
  <si>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</si>
  <si>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</si>
  <si>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</si>
  <si>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</si>
  <si>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</si>
  <si>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</si>
  <si>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</si>
  <si>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</si>
  <si>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</si>
  <si>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</si>
  <si>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</si>
  <si>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</si>
  <si>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</si>
  <si>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</si>
  <si>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</si>
  <si>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</si>
  <si>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</si>
  <si>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</si>
  <si>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</si>
  <si>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</si>
  <si>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</si>
  <si>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</si>
  <si>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</si>
  <si>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</si>
  <si>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</si>
  <si>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</si>
  <si>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</si>
  <si>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</si>
  <si>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</si>
  <si>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</si>
  <si>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</si>
  <si>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</si>
  <si>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</si>
  <si>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</si>
  <si>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</si>
  <si>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</si>
  <si>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</si>
  <si>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</si>
  <si>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</si>
  <si>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</si>
  <si>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</si>
  <si>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</si>
  <si>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</si>
  <si>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</si>
  <si>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</si>
  <si>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</si>
  <si>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</si>
  <si>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</si>
  <si>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</si>
  <si>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</si>
  <si>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</si>
  <si>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</si>
  <si>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</si>
  <si>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</si>
  <si>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</si>
  <si>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</si>
  <si>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</si>
  <si>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</si>
  <si>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</si>
  <si>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</si>
  <si>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</si>
  <si>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</si>
  <si>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</si>
  <si>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</si>
  <si>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</si>
  <si>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</si>
  <si>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</si>
  <si>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</si>
  <si>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</si>
  <si>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</si>
  <si>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</si>
  <si>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</si>
  <si>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</si>
  <si>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</si>
  <si>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</si>
  <si>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</si>
  <si>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</si>
  <si>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</si>
  <si>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</si>
  <si>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</si>
  <si>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</si>
  <si>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</si>
  <si>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</si>
  <si>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</si>
  <si>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</si>
  <si>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</si>
  <si>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</si>
  <si>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</si>
  <si>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</si>
  <si>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</si>
  <si>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</si>
  <si>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</si>
  <si>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</si>
  <si>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</si>
  <si>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</si>
  <si>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</si>
  <si>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</si>
  <si>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</si>
  <si>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</si>
  <si>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</si>
  <si>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</si>
  <si>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</si>
  <si>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</si>
  <si>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</si>
  <si>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</si>
  <si>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</si>
  <si>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</si>
  <si>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</si>
  <si>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</si>
  <si>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</si>
  <si>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</si>
  <si>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</si>
  <si>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</si>
  <si>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</si>
  <si>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</si>
  <si>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</si>
  <si>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</si>
  <si>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</si>
  <si>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</si>
  <si>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</si>
  <si>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</si>
  <si>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</si>
  <si>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</si>
  <si>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</si>
  <si>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</si>
  <si>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</si>
  <si>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</si>
  <si>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</si>
  <si>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</si>
  <si>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</si>
  <si>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</si>
  <si>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</si>
  <si>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</si>
  <si>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</si>
  <si>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</si>
  <si>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</si>
  <si>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</si>
  <si>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</si>
  <si>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</si>
  <si>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</si>
  <si>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</si>
  <si>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</si>
  <si>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</si>
  <si>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</si>
  <si>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</si>
  <si>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</si>
  <si>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</si>
  <si>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</si>
  <si>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</si>
  <si>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</si>
  <si>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</si>
  <si>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</si>
  <si>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</si>
  <si>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</si>
  <si>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</si>
  <si>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</si>
  <si>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</si>
  <si>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</si>
  <si>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</si>
  <si>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</si>
  <si>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</si>
  <si>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</si>
  <si>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</si>
  <si>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</si>
  <si>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</si>
  <si>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</si>
  <si>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</si>
  <si>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</si>
  <si>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</si>
  <si>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</si>
  <si>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</si>
  <si>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</si>
  <si>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</si>
  <si>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</si>
  <si>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</si>
  <si>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</si>
  <si>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</si>
  <si>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</si>
  <si>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</si>
  <si>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</si>
  <si>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</si>
  <si>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</si>
  <si>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</si>
  <si>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</si>
  <si>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</si>
  <si>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</si>
  <si>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</si>
  <si>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</si>
  <si>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</si>
  <si>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</si>
  <si>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</si>
  <si>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</si>
  <si>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</si>
  <si>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</si>
  <si>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</si>
  <si>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</si>
  <si>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</si>
  <si>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</si>
  <si>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</si>
  <si>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</si>
  <si>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</si>
  <si>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</si>
  <si>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</si>
  <si>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</si>
  <si>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</si>
  <si>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</si>
  <si>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</si>
  <si>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</si>
  <si>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</si>
  <si>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</si>
  <si>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</si>
  <si>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</si>
  <si>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</si>
  <si>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</si>
  <si>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</si>
  <si>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</si>
  <si>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</si>
  <si>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</si>
  <si>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</si>
  <si>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</si>
  <si>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</si>
  <si>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</si>
  <si>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</si>
  <si>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</si>
  <si>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</si>
  <si>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</si>
  <si>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</si>
  <si>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</si>
  <si>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</si>
  <si>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</si>
  <si>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</si>
  <si>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</si>
  <si>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</si>
  <si>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</si>
  <si>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</si>
  <si>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</si>
  <si>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</si>
  <si>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</si>
  <si>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</si>
  <si>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</si>
  <si>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</si>
  <si>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</si>
  <si>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</si>
  <si>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</si>
  <si>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</si>
  <si>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</si>
  <si>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</si>
  <si>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</si>
  <si>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</si>
  <si>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</si>
  <si>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</si>
  <si>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</si>
  <si>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</si>
  <si>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</si>
  <si>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</si>
  <si>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</si>
  <si>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</si>
  <si>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</si>
  <si>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</si>
  <si>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</si>
  <si>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</si>
  <si>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</si>
  <si>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</si>
  <si>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</si>
  <si>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</si>
  <si>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</si>
  <si>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</si>
  <si>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</si>
  <si>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</si>
  <si>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</si>
  <si>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</si>
  <si>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</si>
  <si>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</si>
  <si>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</si>
  <si>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</si>
  <si>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</si>
  <si>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</si>
  <si>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</si>
  <si>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</si>
  <si>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</si>
  <si>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</si>
  <si>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</si>
  <si>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</si>
  <si>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</si>
  <si>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</si>
  <si>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</si>
  <si>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</si>
  <si>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</si>
  <si>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</si>
  <si>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</si>
  <si>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</si>
  <si>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</si>
  <si>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</si>
  <si>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</si>
  <si>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</si>
  <si>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</si>
  <si>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</si>
  <si>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</si>
  <si>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</si>
  <si>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</si>
  <si>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</si>
  <si>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</si>
  <si>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</si>
  <si>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</si>
  <si>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</si>
  <si>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</si>
  <si>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</si>
  <si>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</si>
  <si>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</si>
  <si>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</si>
  <si>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</si>
  <si>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</si>
  <si>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</si>
  <si>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</si>
  <si>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</si>
  <si>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</si>
  <si>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</si>
  <si>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</si>
  <si>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</si>
  <si>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</si>
  <si>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</si>
  <si>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</si>
  <si>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</si>
  <si>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</si>
  <si>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</si>
  <si>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</si>
  <si>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</si>
  <si>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</si>
  <si>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</si>
  <si>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</si>
  <si>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</si>
  <si>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</si>
  <si>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</si>
  <si>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</si>
  <si>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</si>
  <si>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</si>
  <si>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</si>
  <si>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</si>
  <si>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</si>
  <si>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</si>
  <si>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</si>
  <si>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</si>
  <si>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</si>
  <si>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</si>
  <si>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</si>
  <si>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</si>
  <si>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</si>
  <si>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</si>
  <si>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</si>
  <si>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</si>
  <si>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</si>
  <si>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</si>
  <si>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</si>
  <si>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</si>
  <si>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</si>
  <si>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</si>
  <si>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</si>
  <si>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</si>
  <si>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</si>
  <si>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</si>
  <si>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</si>
  <si>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</si>
  <si>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</si>
  <si>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</si>
  <si>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</si>
  <si>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</si>
  <si>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</si>
  <si>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</si>
  <si>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</si>
  <si>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</si>
  <si>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</si>
  <si>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</si>
  <si>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</si>
  <si>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</si>
  <si>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</si>
  <si>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</si>
  <si>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</si>
  <si>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</si>
  <si>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</si>
  <si>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</si>
  <si>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</si>
  <si>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</si>
  <si>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</si>
  <si>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</si>
  <si>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</si>
  <si>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</si>
  <si>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</si>
  <si>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</si>
  <si>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</si>
  <si>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</si>
  <si>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</si>
  <si>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</si>
  <si>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</si>
  <si>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</si>
  <si>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</si>
  <si>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</si>
  <si>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</si>
  <si>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</si>
  <si>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</si>
  <si>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</si>
  <si>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</si>
  <si>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</si>
  <si>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</si>
  <si>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</si>
  <si>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</si>
  <si>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</si>
  <si>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</si>
  <si>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</si>
  <si>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</si>
  <si>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</si>
  <si>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</si>
  <si>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</si>
  <si>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</si>
  <si>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</si>
  <si>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</si>
  <si>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</si>
  <si>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</si>
  <si>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</si>
  <si>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</si>
  <si>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</si>
  <si>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</si>
  <si>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</si>
  <si>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</si>
  <si>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</si>
  <si>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</si>
  <si>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</si>
  <si>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</si>
  <si>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</si>
  <si>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</si>
  <si>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</si>
  <si>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</si>
  <si>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</si>
  <si>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</si>
  <si>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</si>
  <si>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</si>
  <si>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</si>
  <si>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</si>
  <si>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</si>
  <si>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</si>
  <si>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</si>
  <si>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</si>
  <si>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</si>
  <si>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</si>
  <si>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</si>
  <si>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</si>
  <si>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</si>
  <si>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</si>
  <si>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</si>
  <si>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</si>
  <si>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</si>
  <si>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</si>
  <si>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</si>
  <si>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</si>
  <si>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</si>
  <si>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</si>
  <si>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</si>
  <si>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</si>
  <si>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</si>
  <si>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</si>
  <si>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</si>
  <si>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</si>
  <si>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</si>
  <si>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</si>
  <si>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</si>
  <si>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</si>
  <si>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</si>
  <si>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</si>
  <si>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</si>
  <si>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</si>
  <si>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</si>
  <si>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</si>
  <si>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</si>
  <si>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</si>
  <si>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</si>
  <si>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</si>
  <si>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</si>
  <si>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</si>
  <si>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</si>
  <si>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</si>
  <si>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</si>
  <si>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</si>
  <si>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</si>
  <si>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</si>
  <si>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</si>
  <si>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</si>
  <si>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</si>
  <si>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</si>
  <si>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</si>
  <si>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</si>
  <si>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</si>
  <si>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</si>
  <si>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</si>
  <si>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</si>
  <si>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</si>
  <si>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</si>
  <si>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</si>
  <si>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</si>
  <si>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</si>
  <si>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</si>
  <si>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</si>
  <si>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</si>
  <si>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</si>
  <si>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</si>
  <si>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</si>
  <si>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</si>
  <si>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</si>
  <si>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</si>
  <si>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</si>
  <si>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</si>
  <si>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</si>
  <si>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</si>
  <si>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</si>
  <si>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</si>
  <si>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</si>
  <si>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</si>
  <si>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</si>
  <si>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</si>
  <si>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</si>
  <si>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</si>
  <si>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</si>
  <si>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</si>
  <si>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</si>
  <si>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</si>
  <si>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</si>
  <si>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</si>
  <si>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</si>
  <si>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</si>
  <si>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</si>
  <si>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</si>
  <si>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</si>
  <si>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</si>
  <si>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</si>
  <si>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</si>
  <si>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</si>
  <si>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</si>
  <si>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</si>
  <si>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</si>
  <si>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</si>
  <si>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</si>
  <si>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</si>
  <si>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</si>
  <si>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</si>
  <si>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</si>
  <si>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</si>
  <si>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</si>
  <si>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</si>
  <si>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</si>
  <si>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</si>
  <si>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</si>
  <si>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</si>
  <si>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</si>
  <si>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</si>
  <si>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</si>
  <si>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</si>
  <si>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</si>
  <si>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</si>
  <si>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</si>
  <si>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</si>
  <si>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</si>
  <si>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</si>
  <si>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</si>
  <si>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</si>
  <si>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</si>
  <si>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</si>
  <si>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</si>
  <si>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</si>
  <si>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</si>
  <si>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</si>
  <si>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</si>
  <si>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</si>
  <si>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</si>
  <si>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</si>
  <si>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</si>
  <si>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</si>
  <si>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</si>
  <si>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</si>
  <si>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</si>
  <si>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</si>
  <si>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</si>
  <si>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</si>
  <si>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</si>
  <si>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</si>
  <si>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</si>
  <si>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</si>
  <si>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</si>
  <si>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</si>
  <si>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</si>
  <si>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</si>
  <si>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</si>
  <si>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</si>
  <si>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</si>
  <si>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</si>
  <si>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</si>
  <si>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</si>
  <si>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</si>
  <si>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</si>
  <si>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</si>
  <si>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</si>
  <si>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</si>
  <si>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</si>
  <si>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</si>
  <si>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</si>
  <si>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</si>
  <si>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</si>
  <si>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</si>
  <si>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</si>
  <si>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</si>
  <si>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</si>
  <si>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</si>
  <si>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</si>
  <si>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</si>
  <si>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</si>
  <si>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</si>
  <si>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</si>
  <si>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</si>
  <si>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</si>
  <si>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</si>
  <si>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</si>
  <si>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</si>
  <si>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</si>
  <si>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</si>
  <si>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</si>
  <si>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</si>
  <si>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</si>
  <si>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</si>
  <si>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</si>
  <si>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</si>
  <si>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</si>
  <si>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</si>
  <si>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</si>
  <si>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</si>
  <si>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</si>
  <si>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</si>
  <si>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</si>
  <si>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</si>
  <si>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</si>
  <si>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</si>
  <si>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</si>
  <si>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</si>
  <si>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</si>
  <si>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</si>
  <si>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</si>
  <si>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</si>
  <si>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</si>
  <si>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</si>
  <si>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</si>
  <si>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</si>
  <si>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</si>
  <si>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</si>
  <si>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</si>
  <si>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</si>
  <si>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</si>
  <si>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</si>
  <si>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</si>
  <si>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</si>
  <si>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</si>
  <si>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</si>
  <si>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</si>
  <si>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</si>
  <si>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</si>
  <si>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</si>
  <si>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</si>
  <si>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</si>
  <si>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</si>
  <si>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</si>
  <si>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</si>
  <si>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</si>
  <si>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</si>
  <si>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</si>
  <si>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</si>
  <si>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</si>
  <si>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</si>
  <si>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</si>
  <si>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</si>
  <si>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</si>
  <si>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</si>
  <si>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</si>
  <si>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</si>
  <si>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</si>
  <si>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</si>
  <si>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</si>
  <si>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</si>
  <si>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</si>
  <si>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</si>
  <si>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</si>
  <si>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</si>
  <si>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</si>
  <si>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</si>
  <si>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</si>
  <si>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</si>
  <si>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</si>
  <si>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</si>
  <si>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</si>
  <si>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</si>
  <si>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</si>
  <si>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</si>
  <si>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</si>
  <si>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</si>
  <si>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</si>
  <si>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</si>
  <si>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</si>
  <si>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</si>
  <si>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</si>
  <si>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</si>
  <si>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</si>
  <si>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</si>
  <si>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</si>
  <si>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</si>
  <si>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</si>
  <si>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</si>
  <si>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</si>
  <si>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</si>
  <si>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</si>
  <si>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</si>
  <si>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</si>
  <si>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</si>
  <si>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</si>
  <si>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</si>
  <si>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</si>
  <si>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</si>
  <si>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</si>
  <si>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</si>
  <si>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</si>
  <si>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</si>
  <si>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</si>
  <si>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</si>
  <si>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</si>
  <si>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</si>
  <si>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</si>
  <si>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</si>
  <si>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</si>
  <si>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</si>
  <si>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</si>
  <si>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</si>
  <si>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</si>
  <si>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</si>
  <si>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</si>
  <si>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</si>
  <si>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</si>
  <si>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</si>
  <si>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</si>
  <si>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</si>
  <si>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</si>
  <si>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</si>
  <si>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</si>
  <si>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</si>
  <si>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</si>
  <si>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</si>
  <si>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</si>
  <si>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</si>
  <si>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</si>
  <si>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</si>
  <si>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</si>
  <si>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</si>
  <si>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</si>
  <si>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</si>
  <si>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</si>
  <si>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</si>
  <si>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</si>
  <si>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</si>
  <si>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</si>
  <si>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</si>
  <si>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</si>
  <si>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</si>
  <si>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</si>
  <si>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</si>
  <si>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</si>
  <si>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</si>
  <si>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</si>
  <si>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</si>
  <si>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</si>
  <si>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</si>
  <si>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</si>
  <si>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</si>
  <si>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</si>
  <si>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</si>
  <si>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</si>
  <si>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</si>
  <si>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</si>
  <si>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</si>
  <si>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</si>
  <si>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</si>
  <si>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</si>
  <si>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</si>
  <si>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</si>
  <si>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</si>
  <si>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</si>
  <si>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</si>
  <si>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</si>
  <si>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</si>
  <si>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</si>
  <si>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</si>
  <si>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</si>
  <si>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</si>
  <si>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</si>
  <si>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</si>
  <si>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</si>
  <si>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</si>
  <si>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</si>
  <si>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</si>
  <si>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</si>
  <si>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</si>
  <si>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</si>
  <si>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</si>
  <si>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</si>
  <si>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</si>
  <si>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</si>
  <si>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</si>
  <si>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</si>
  <si>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</si>
  <si>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</si>
  <si>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</si>
  <si>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</si>
  <si>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</si>
  <si>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</si>
  <si>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</si>
  <si>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</si>
  <si>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</si>
  <si>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</si>
  <si>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</si>
  <si>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</si>
  <si>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</si>
  <si>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</si>
  <si>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</si>
  <si>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</si>
  <si>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</si>
  <si>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</si>
  <si>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</si>
  <si>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</si>
  <si>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</si>
  <si>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</si>
  <si>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</si>
  <si>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</si>
  <si>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</si>
  <si>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</si>
  <si>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</si>
  <si>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</si>
  <si>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</si>
  <si>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</si>
  <si>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</si>
  <si>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</si>
  <si>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</si>
  <si>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</si>
  <si>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</si>
  <si>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</si>
  <si>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</si>
  <si>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</si>
  <si>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</si>
  <si>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</si>
  <si>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</si>
  <si>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</si>
  <si>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</si>
  <si>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</si>
  <si>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</si>
  <si>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</si>
  <si>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</si>
  <si>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</si>
  <si>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</si>
  <si>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</si>
  <si>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</si>
  <si>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</si>
  <si>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</si>
  <si>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</si>
  <si>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</si>
  <si>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</si>
  <si>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</si>
  <si>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</si>
  <si>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</si>
  <si>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</si>
  <si>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</si>
  <si>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</si>
  <si>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</si>
  <si>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</si>
  <si>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</si>
  <si>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</si>
  <si>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</si>
  <si>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</si>
  <si>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</si>
  <si>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</si>
  <si>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</si>
  <si>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</si>
  <si>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</si>
  <si>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</si>
  <si>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</si>
  <si>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</si>
  <si>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</si>
  <si>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</si>
  <si>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</si>
  <si>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</si>
  <si>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</si>
  <si>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</si>
  <si>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</si>
  <si>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</si>
  <si>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</si>
  <si>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</si>
  <si>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</si>
  <si>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</si>
  <si>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</si>
  <si>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</si>
  <si>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</si>
  <si>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</si>
  <si>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</si>
  <si>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</si>
  <si>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</si>
  <si>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</si>
  <si>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</si>
  <si>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</si>
  <si>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</si>
  <si>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</si>
  <si>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</si>
  <si>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</si>
  <si>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</si>
  <si>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</si>
  <si>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</si>
  <si>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</si>
  <si>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</si>
  <si>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</si>
  <si>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</si>
  <si>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</si>
  <si>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</si>
  <si>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</si>
  <si>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</si>
  <si>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</si>
  <si>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</si>
  <si>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</si>
  <si>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</si>
  <si>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</si>
  <si>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</si>
  <si>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</si>
  <si>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</si>
  <si>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</si>
  <si>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</si>
  <si>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</si>
  <si>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</si>
  <si>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</si>
  <si>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</si>
  <si>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</si>
  <si>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</si>
  <si>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</si>
  <si>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</si>
  <si>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</si>
  <si>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</si>
  <si>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</si>
  <si>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</si>
  <si>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</si>
  <si>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</si>
  <si>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</si>
  <si>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</si>
  <si>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</si>
  <si>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</si>
  <si>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</si>
  <si>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</si>
  <si>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</si>
  <si>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</si>
  <si>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</si>
  <si>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</si>
  <si>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</si>
  <si>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</si>
  <si>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</si>
  <si>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</si>
  <si>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</si>
  <si>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</si>
  <si>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</si>
  <si>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</si>
  <si>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</si>
  <si>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</si>
  <si>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</si>
  <si>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</si>
  <si>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</si>
  <si>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</si>
  <si>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</si>
  <si>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</si>
  <si>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</si>
  <si>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</si>
  <si>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</si>
  <si>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</si>
  <si>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</si>
  <si>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</si>
  <si>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</si>
  <si>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</si>
  <si>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</si>
  <si>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</si>
  <si>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</si>
  <si>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</si>
  <si>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</si>
  <si>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</si>
  <si>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</si>
  <si>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</si>
  <si>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</si>
  <si>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</si>
  <si>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</si>
  <si>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</si>
  <si>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</si>
  <si>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</si>
  <si>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</si>
  <si>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</si>
  <si>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</si>
  <si>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</si>
  <si>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</si>
  <si>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</si>
  <si>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</si>
  <si>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</si>
  <si>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</si>
  <si>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</si>
  <si>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</si>
  <si>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</si>
  <si>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</si>
  <si>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</si>
  <si>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</si>
  <si>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</si>
  <si>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</si>
  <si>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</si>
  <si>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</si>
  <si>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</si>
  <si>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</si>
  <si>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</si>
  <si>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</si>
  <si>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</si>
  <si>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</si>
  <si>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</si>
  <si>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</si>
  <si>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</si>
  <si>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</si>
  <si>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</si>
  <si>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</si>
  <si>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</si>
  <si>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</si>
  <si>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</si>
  <si>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</si>
  <si>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</si>
  <si>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</si>
  <si>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</si>
  <si>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</si>
  <si>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</si>
  <si>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</si>
  <si>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</si>
  <si>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</si>
  <si>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</si>
  <si>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</si>
  <si>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</si>
  <si>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</si>
  <si>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</si>
  <si>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</si>
  <si>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</si>
  <si>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</si>
  <si>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</si>
  <si>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</si>
  <si>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</si>
  <si>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</si>
  <si>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</si>
  <si>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</si>
  <si>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</si>
  <si>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</si>
  <si>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</si>
  <si>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</si>
  <si>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</si>
  <si>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</si>
  <si>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</si>
  <si>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</si>
  <si>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</si>
  <si>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</si>
  <si>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</si>
  <si>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</si>
  <si>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</si>
  <si>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</si>
  <si>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</si>
  <si>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</si>
  <si>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</si>
  <si>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</si>
  <si>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</si>
  <si>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</si>
  <si>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</si>
  <si>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</si>
  <si>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</si>
  <si>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</si>
  <si>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</si>
  <si>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</si>
  <si>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</si>
  <si>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</si>
  <si>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</si>
  <si>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</si>
  <si>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</si>
  <si>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</si>
  <si>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</si>
  <si>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</si>
  <si>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</si>
  <si>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</si>
  <si>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</si>
  <si>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</si>
  <si>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</si>
  <si>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</si>
  <si>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</si>
  <si>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</si>
  <si>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</si>
  <si>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</si>
  <si>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</si>
  <si>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</si>
  <si>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</si>
  <si>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</si>
  <si>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</si>
  <si>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</si>
  <si>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</si>
  <si>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</si>
  <si>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</si>
  <si>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</si>
  <si>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</si>
  <si>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</si>
  <si>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</si>
  <si>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</si>
  <si>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</si>
  <si>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</si>
  <si>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</si>
  <si>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</si>
  <si>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</si>
  <si>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</si>
  <si>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</si>
  <si>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</si>
  <si>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</si>
  <si>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</si>
  <si>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</si>
  <si>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</si>
  <si>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</si>
  <si>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</si>
  <si>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</si>
  <si>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</si>
  <si>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</si>
  <si>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</si>
  <si>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</si>
  <si>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</si>
  <si>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</si>
  <si>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</si>
  <si>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</si>
  <si>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</si>
  <si>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</si>
  <si>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</si>
  <si>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</si>
  <si>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</si>
  <si>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</si>
  <si>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</si>
  <si>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</si>
  <si>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</si>
  <si>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</si>
  <si>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</si>
  <si>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</si>
  <si>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</si>
  <si>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</si>
  <si>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</si>
  <si>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</si>
  <si>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</si>
  <si>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</si>
  <si>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</si>
  <si>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</si>
  <si>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</si>
  <si>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</si>
  <si>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</si>
  <si>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</si>
  <si>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</si>
  <si>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</si>
  <si>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</si>
  <si>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</si>
  <si>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</si>
  <si>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</si>
  <si>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</si>
  <si>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</si>
  <si>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</si>
  <si>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</si>
  <si>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</si>
  <si>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</si>
  <si>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</si>
  <si>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</si>
  <si>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</si>
  <si>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</si>
  <si>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</si>
  <si>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</si>
  <si>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</si>
  <si>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</si>
  <si>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</si>
  <si>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</si>
  <si>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</si>
  <si>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</si>
  <si>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</si>
  <si>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</si>
  <si>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</si>
  <si>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</si>
  <si>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</si>
  <si>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</si>
  <si>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</si>
  <si>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</si>
  <si>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</si>
  <si>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</si>
  <si>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</si>
  <si>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</si>
  <si>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</si>
  <si>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</si>
  <si>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</si>
  <si>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</si>
  <si>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</si>
  <si>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</si>
  <si>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</si>
  <si>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</si>
  <si>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</si>
  <si>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</si>
  <si>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</si>
  <si>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</si>
  <si>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</si>
  <si>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</si>
  <si>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</si>
  <si>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</si>
  <si>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</si>
  <si>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</si>
  <si>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</si>
  <si>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</si>
  <si>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</si>
  <si>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</si>
  <si>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</si>
  <si>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</si>
  <si>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</si>
  <si>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</si>
  <si>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</si>
  <si>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</si>
  <si>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</si>
  <si>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</si>
  <si>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</si>
  <si>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</si>
  <si>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</si>
  <si>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</si>
  <si>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</si>
  <si>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</si>
  <si>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</si>
  <si>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</si>
  <si>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</si>
  <si>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</si>
  <si>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</si>
  <si>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</si>
  <si>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</si>
  <si>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</si>
  <si>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</si>
  <si>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</si>
  <si>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</si>
  <si>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</si>
  <si>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</si>
  <si>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</si>
  <si>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</si>
  <si>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</si>
  <si>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</si>
  <si>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</si>
  <si>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</si>
  <si>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</si>
  <si>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</si>
  <si>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</si>
  <si>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</si>
  <si>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</si>
  <si>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</si>
  <si>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</si>
  <si>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</si>
  <si>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</si>
  <si>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</si>
  <si>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</si>
  <si>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</si>
  <si>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</si>
  <si>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</si>
  <si>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</si>
  <si>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</si>
  <si>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</si>
  <si>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</si>
  <si>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</si>
  <si>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</si>
  <si>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</si>
  <si>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</si>
  <si>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</si>
  <si>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</si>
  <si>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</si>
  <si>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</si>
  <si>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</si>
  <si>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</si>
  <si>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</si>
  <si>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</si>
  <si>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</si>
  <si>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</si>
  <si>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</si>
  <si>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</si>
  <si>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</si>
  <si>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</si>
  <si>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</si>
  <si>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</si>
  <si>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</si>
  <si>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</si>
  <si>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</si>
  <si>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</si>
  <si>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</si>
  <si>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</si>
  <si>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</si>
  <si>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</si>
  <si>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</si>
  <si>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</si>
  <si>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</si>
  <si>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</si>
  <si>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</si>
  <si>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</si>
  <si>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</si>
  <si>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</si>
  <si>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</si>
  <si>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</si>
  <si>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</si>
  <si>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</si>
  <si>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</si>
  <si>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</si>
  <si>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</si>
  <si>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</si>
  <si>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</si>
  <si>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</si>
  <si>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</si>
  <si>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</si>
  <si>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</si>
  <si>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</si>
  <si>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</si>
  <si>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</si>
  <si>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</si>
  <si>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</si>
  <si>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</si>
  <si>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</si>
  <si>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</si>
  <si>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</si>
  <si>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</si>
  <si>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</si>
  <si>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</si>
  <si>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</si>
  <si>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</si>
  <si>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</si>
  <si>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</si>
  <si>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</si>
  <si>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</si>
  <si>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</si>
  <si>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</si>
  <si>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</si>
  <si>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</si>
  <si>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</si>
  <si>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</si>
  <si>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</si>
  <si>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</si>
  <si>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</si>
  <si>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</si>
  <si>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</si>
  <si>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</si>
  <si>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</si>
  <si>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</si>
  <si>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</si>
  <si>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</si>
  <si>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</si>
  <si>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</si>
  <si>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</si>
  <si>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</si>
  <si>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</si>
  <si>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</si>
  <si>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</si>
  <si>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</si>
  <si>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</si>
  <si>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</si>
  <si>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</si>
  <si>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</si>
  <si>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</si>
  <si>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</si>
  <si>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</si>
  <si>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</si>
  <si>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</si>
  <si>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</si>
  <si>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</si>
  <si>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</si>
  <si>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</si>
  <si>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</si>
  <si>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</si>
  <si>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</si>
  <si>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</si>
  <si>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</si>
  <si>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</si>
  <si>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</si>
  <si>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</si>
  <si>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</si>
  <si>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</si>
  <si>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</si>
  <si>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</si>
  <si>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</si>
  <si>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</si>
  <si>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</si>
  <si>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</si>
  <si>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</si>
  <si>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</si>
  <si>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</si>
  <si>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</si>
  <si>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</si>
  <si>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</si>
  <si>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</si>
  <si>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</si>
  <si>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</si>
  <si>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</si>
  <si>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</si>
  <si>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</si>
  <si>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</si>
  <si>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</si>
  <si>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</si>
  <si>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</si>
  <si>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</si>
  <si>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</si>
  <si>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</si>
  <si>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</si>
  <si>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</si>
  <si>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</si>
  <si>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</si>
  <si>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</si>
  <si>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</si>
  <si>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</si>
  <si>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</si>
  <si>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</si>
  <si>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</si>
  <si>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</si>
  <si>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</si>
  <si>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</si>
  <si>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</si>
  <si>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</si>
  <si>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</si>
  <si>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</si>
  <si>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</si>
  <si>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</si>
  <si>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</si>
  <si>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</si>
  <si>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</si>
  <si>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</si>
  <si>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</si>
  <si>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</si>
  <si>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</si>
  <si>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</si>
  <si>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</si>
  <si>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</si>
  <si>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</si>
  <si>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</si>
  <si>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</si>
  <si>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</si>
  <si>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</si>
  <si>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</si>
  <si>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</si>
  <si>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</si>
  <si>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</si>
  <si>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</si>
  <si>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</si>
  <si>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</si>
  <si>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</si>
  <si>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</si>
  <si>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</si>
  <si>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</si>
  <si>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</si>
  <si>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</si>
  <si>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</si>
  <si>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</si>
  <si>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</si>
  <si>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</si>
  <si>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</si>
  <si>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</si>
  <si>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</si>
  <si>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</si>
  <si>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</si>
  <si>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</si>
  <si>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</si>
  <si>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</si>
  <si>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</si>
  <si>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</si>
  <si>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</si>
  <si>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</si>
  <si>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</si>
  <si>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</si>
  <si>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</si>
  <si>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</si>
  <si>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</si>
  <si>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</si>
  <si>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</si>
  <si>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</si>
  <si>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</si>
  <si>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</si>
  <si>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</si>
  <si>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</si>
  <si>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</si>
  <si>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</si>
  <si>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</si>
  <si>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</si>
  <si>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</si>
  <si>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</si>
  <si>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</si>
  <si>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</si>
  <si>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</si>
  <si>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</si>
  <si>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</si>
  <si>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</si>
  <si>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</si>
  <si>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</si>
  <si>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</si>
  <si>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</si>
  <si>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</si>
  <si>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</si>
  <si>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</si>
  <si>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</si>
  <si>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</si>
  <si>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</si>
  <si>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</si>
  <si>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</si>
  <si>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</si>
  <si>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</si>
  <si>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</si>
  <si>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</si>
  <si>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</si>
  <si>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</si>
  <si>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</si>
  <si>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</si>
  <si>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</si>
  <si>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</si>
  <si>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</si>
  <si>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</si>
  <si>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</si>
  <si>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</si>
  <si>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</si>
  <si>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</si>
  <si>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</si>
  <si>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</si>
  <si>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</si>
  <si>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</si>
  <si>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</si>
  <si>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</si>
  <si>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</si>
  <si>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</si>
  <si>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</si>
  <si>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</si>
  <si>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</si>
  <si>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</si>
  <si>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</si>
  <si>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</si>
  <si>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</si>
  <si>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</si>
  <si>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</si>
  <si>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</si>
  <si>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</si>
  <si>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</si>
  <si>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</si>
  <si>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</si>
  <si>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</si>
  <si>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</si>
  <si>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</si>
  <si>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</si>
  <si>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</si>
  <si>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</si>
  <si>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</si>
  <si>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</si>
  <si>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</si>
  <si>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</si>
  <si>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</si>
  <si>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</si>
  <si>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</si>
  <si>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</si>
  <si>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</si>
  <si>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</si>
  <si>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</si>
  <si>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</si>
  <si>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</si>
  <si>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</si>
  <si>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</si>
  <si>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</si>
  <si>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</si>
  <si>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</si>
  <si>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</si>
  <si>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</si>
  <si>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</si>
  <si>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</si>
  <si>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</si>
  <si>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</si>
  <si>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</si>
  <si>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</si>
  <si>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</si>
  <si>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</si>
  <si>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</si>
  <si>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</si>
  <si>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</si>
  <si>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</si>
  <si>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</si>
  <si>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</si>
  <si>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</si>
  <si>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</si>
  <si>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</si>
  <si>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</si>
  <si>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</si>
  <si>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</si>
  <si>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</si>
  <si>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</si>
  <si>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</si>
  <si>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</si>
  <si>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</si>
  <si>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</si>
  <si>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</si>
  <si>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</si>
  <si>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</si>
  <si>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</si>
  <si>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</si>
  <si>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</si>
  <si>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</si>
  <si>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</si>
  <si>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</si>
  <si>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</si>
  <si>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</si>
  <si>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</si>
  <si>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</si>
  <si>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</si>
  <si>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</si>
  <si>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</si>
  <si>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</si>
  <si>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</si>
  <si>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</si>
  <si>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</si>
  <si>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</si>
  <si>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</si>
  <si>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</si>
  <si>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</si>
  <si>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</si>
  <si>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</si>
  <si>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</si>
  <si>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</si>
  <si>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</si>
  <si>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</si>
  <si>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</si>
  <si>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</si>
  <si>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</si>
  <si>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</si>
  <si>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</si>
  <si>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</si>
  <si>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</si>
  <si>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</si>
  <si>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</si>
  <si>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</si>
  <si>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</si>
  <si>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</si>
  <si>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</si>
  <si>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</si>
  <si>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</si>
  <si>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</si>
  <si>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</si>
  <si>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</si>
  <si>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</si>
  <si>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</si>
  <si>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</si>
  <si>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</si>
  <si>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</si>
  <si>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</si>
  <si>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</si>
  <si>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</si>
  <si>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</si>
  <si>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</si>
  <si>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</si>
  <si>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</si>
  <si>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</si>
  <si>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</si>
  <si>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</si>
  <si>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</si>
  <si>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</si>
  <si>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</si>
  <si>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</si>
  <si>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</si>
  <si>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</si>
  <si>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</si>
  <si>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</si>
  <si>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</si>
  <si>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</si>
  <si>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</si>
  <si>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</si>
  <si>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</si>
  <si>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</si>
  <si>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</si>
  <si>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</si>
  <si>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</si>
  <si>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</si>
  <si>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</si>
  <si>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</si>
  <si>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</si>
  <si>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</si>
  <si>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</si>
  <si>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</si>
  <si>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</si>
  <si>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</si>
  <si>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</si>
  <si>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</si>
  <si>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</si>
  <si>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</si>
  <si>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</si>
  <si>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</si>
  <si>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</si>
  <si>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</si>
  <si>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</si>
  <si>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</si>
  <si>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</si>
  <si>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</si>
  <si>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</si>
  <si>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</si>
  <si>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</si>
  <si>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</si>
  <si>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</si>
  <si>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</si>
  <si>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</si>
  <si>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</si>
  <si>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</si>
  <si>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</si>
  <si>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</si>
  <si>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</si>
  <si>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</si>
  <si>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</si>
  <si>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</si>
  <si>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</si>
  <si>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</si>
  <si>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</si>
  <si>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</si>
  <si>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</si>
  <si>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</si>
  <si>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</si>
  <si>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</si>
  <si>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</si>
  <si>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</si>
  <si>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</si>
  <si>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</si>
  <si>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</si>
  <si>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</si>
  <si>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</si>
  <si>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</si>
  <si>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</si>
  <si>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</si>
  <si>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</si>
  <si>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</si>
  <si>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</si>
  <si>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</si>
  <si>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</si>
  <si>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</si>
  <si>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</si>
  <si>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</si>
  <si>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</si>
  <si>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</si>
  <si>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</si>
  <si>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</si>
  <si>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</si>
  <si>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</si>
  <si>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</si>
  <si>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</si>
  <si>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</si>
  <si>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</si>
  <si>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</si>
  <si>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</si>
  <si>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</si>
  <si>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</si>
  <si>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</si>
  <si>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</si>
  <si>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</si>
  <si>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</si>
  <si>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</si>
  <si>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</si>
  <si>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</si>
  <si>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</si>
  <si>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</si>
  <si>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</si>
  <si>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</si>
  <si>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</si>
  <si>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</si>
  <si>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</si>
  <si>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</si>
  <si>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</si>
  <si>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</si>
  <si>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</si>
  <si>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</si>
  <si>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</si>
  <si>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</si>
  <si>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</si>
  <si>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</si>
  <si>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</si>
  <si>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</si>
  <si>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</si>
  <si>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</si>
  <si>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</si>
  <si>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</si>
  <si>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</si>
  <si>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</si>
  <si>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</si>
  <si>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</si>
  <si>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</si>
  <si>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</si>
  <si>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</si>
  <si>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</si>
  <si>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</si>
  <si>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</si>
  <si>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</si>
  <si>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</si>
  <si>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</si>
  <si>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</si>
  <si>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</si>
  <si>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</si>
  <si>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</si>
  <si>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</si>
  <si>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</si>
  <si>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</si>
  <si>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</si>
  <si>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</si>
  <si>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</si>
  <si>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</si>
  <si>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</si>
  <si>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</si>
  <si>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</si>
  <si>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</si>
  <si>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</si>
  <si>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</si>
  <si>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</si>
  <si>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</si>
  <si>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</si>
  <si>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</si>
  <si>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</si>
  <si>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</si>
  <si>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</si>
  <si>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</si>
  <si>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</si>
  <si>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</si>
  <si>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</si>
  <si>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</si>
  <si>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</si>
  <si>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</si>
  <si>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</si>
  <si>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</si>
  <si>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</si>
  <si>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</si>
  <si>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</si>
  <si>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</si>
  <si>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</si>
  <si>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</si>
  <si>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</si>
  <si>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</si>
  <si>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</si>
  <si>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</si>
  <si>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</si>
  <si>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</si>
  <si>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</si>
  <si>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</si>
  <si>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</si>
  <si>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</si>
  <si>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</si>
  <si>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</si>
  <si>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</si>
  <si>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</si>
  <si>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</si>
  <si>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</si>
  <si>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</si>
  <si>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</si>
  <si>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</si>
  <si>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</si>
  <si>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</si>
  <si>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</si>
  <si>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</si>
  <si>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</si>
  <si>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</si>
  <si>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</si>
  <si>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</si>
  <si>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</si>
  <si>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</si>
  <si>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</si>
  <si>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</si>
  <si>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</si>
  <si>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</si>
  <si>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</si>
  <si>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</si>
  <si>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</si>
  <si>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</si>
  <si>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</si>
  <si>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</si>
  <si>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</si>
  <si>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</si>
  <si>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</si>
  <si>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</si>
  <si>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</si>
  <si>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</si>
  <si>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</si>
  <si>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</si>
  <si>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</si>
  <si>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</si>
  <si>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</si>
  <si>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</si>
  <si>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</si>
  <si>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</si>
  <si>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</si>
  <si>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</si>
  <si>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</si>
  <si>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</si>
  <si>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</si>
  <si>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</si>
  <si>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</si>
  <si>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</si>
  <si>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</si>
  <si>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</si>
  <si>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</si>
  <si>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</si>
  <si>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</si>
  <si>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</si>
  <si>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</si>
  <si>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</si>
  <si>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</si>
  <si>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</si>
  <si>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</si>
  <si>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</si>
  <si>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</si>
  <si>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</si>
  <si>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</si>
  <si>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</si>
  <si>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</si>
  <si>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</si>
  <si>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</si>
  <si>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</si>
  <si>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</si>
  <si>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</si>
  <si>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</si>
  <si>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</si>
  <si>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</si>
  <si>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</si>
  <si>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</si>
  <si>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</si>
  <si>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</si>
  <si>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</si>
  <si>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</si>
  <si>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</si>
  <si>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</si>
  <si>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</si>
  <si>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</si>
  <si>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</si>
  <si>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</si>
  <si>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</si>
  <si>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</si>
  <si>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</si>
  <si>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</si>
  <si>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</si>
  <si>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</si>
  <si>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</si>
  <si>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</si>
  <si>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</si>
  <si>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</si>
  <si>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</si>
  <si>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</si>
  <si>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</si>
  <si>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</si>
  <si>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</si>
  <si>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</si>
  <si>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</si>
  <si>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</si>
  <si>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</si>
  <si>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</si>
  <si>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</si>
  <si>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</si>
  <si>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</si>
  <si>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</si>
  <si>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</si>
  <si>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</si>
  <si>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</si>
  <si>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</si>
  <si>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</si>
  <si>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</si>
  <si>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</si>
  <si>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</si>
  <si>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</si>
  <si>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</si>
  <si>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</si>
  <si>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</si>
  <si>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</si>
  <si>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</si>
  <si>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</si>
  <si>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</si>
  <si>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</si>
  <si>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</si>
  <si>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</si>
  <si>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</si>
  <si>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</si>
  <si>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</si>
  <si>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</si>
  <si>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</si>
  <si>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</si>
  <si>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</si>
  <si>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</si>
  <si>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</si>
  <si>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</si>
  <si>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</si>
  <si>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</si>
  <si>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</si>
  <si>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</si>
  <si>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</si>
  <si>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</si>
  <si>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</si>
  <si>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</si>
  <si>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</si>
  <si>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</si>
  <si>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</si>
  <si>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</si>
  <si>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</si>
  <si>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</si>
  <si>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</si>
  <si>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</si>
  <si>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</si>
  <si>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</si>
  <si>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</si>
  <si>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</si>
  <si>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</si>
  <si>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</si>
  <si>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</si>
  <si>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</si>
  <si>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</si>
  <si>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</si>
  <si>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</si>
  <si>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</si>
  <si>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</si>
  <si>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</si>
  <si>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</si>
  <si>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</si>
  <si>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</si>
  <si>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</si>
  <si>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</si>
  <si>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</si>
  <si>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</si>
  <si>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</si>
  <si>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</si>
  <si>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</si>
  <si>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</si>
  <si>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</si>
  <si>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</si>
  <si>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</si>
  <si>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</si>
  <si>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</si>
  <si>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</si>
  <si>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</si>
  <si>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</si>
  <si>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</si>
  <si>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</si>
  <si>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</si>
  <si>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</si>
  <si>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</si>
  <si>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</si>
  <si>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</si>
  <si>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</si>
  <si>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</si>
  <si>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</si>
  <si>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</si>
  <si>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</si>
  <si>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</si>
  <si>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</si>
  <si>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</si>
  <si>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</si>
  <si>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</si>
  <si>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</si>
  <si>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</si>
  <si>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</si>
  <si>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</si>
  <si>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</si>
  <si>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</si>
  <si>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</si>
  <si>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</si>
  <si>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</si>
  <si>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</si>
  <si>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</si>
  <si>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</si>
  <si>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</si>
  <si>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</si>
  <si>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</si>
  <si>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</si>
  <si>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</si>
  <si>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</si>
  <si>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</si>
  <si>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</si>
  <si>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</si>
  <si>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</si>
  <si>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</si>
  <si>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</si>
  <si>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</si>
  <si>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</si>
  <si>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</si>
  <si>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</si>
  <si>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</si>
  <si>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</si>
  <si>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</si>
  <si>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</si>
  <si>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</si>
  <si>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</si>
  <si>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</si>
  <si>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</si>
  <si>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</si>
  <si>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</si>
  <si>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</si>
  <si>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</si>
  <si>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</si>
  <si>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</si>
  <si>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</si>
  <si>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</si>
  <si>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</si>
  <si>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</si>
  <si>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</si>
  <si>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</si>
  <si>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</si>
  <si>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</si>
  <si>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</si>
  <si>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</si>
  <si>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</si>
  <si>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</si>
  <si>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</si>
  <si>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</si>
  <si>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</si>
  <si>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</si>
  <si>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</si>
  <si>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</si>
  <si>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</si>
  <si>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</si>
  <si>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</si>
  <si>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</si>
  <si>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</si>
  <si>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</si>
  <si>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</si>
  <si>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</si>
  <si>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</si>
  <si>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</si>
  <si>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</si>
  <si>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</si>
  <si>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</si>
  <si>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</si>
  <si>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</si>
  <si>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</si>
  <si>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</si>
  <si>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</si>
  <si>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</si>
  <si>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</si>
  <si>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</si>
  <si>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</si>
  <si>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</si>
  <si>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</si>
  <si>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</si>
  <si>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</si>
  <si>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</si>
  <si>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</si>
  <si>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</si>
  <si>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</si>
  <si>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</si>
  <si>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</si>
  <si>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</si>
  <si>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</si>
  <si>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</si>
  <si>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</si>
  <si>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</si>
  <si>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</si>
  <si>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</si>
  <si>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</si>
  <si>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</si>
  <si>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</si>
  <si>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</si>
  <si>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</si>
  <si>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</si>
  <si>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</si>
  <si>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</si>
  <si>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</si>
  <si>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</si>
  <si>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</si>
  <si>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</si>
  <si>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</si>
  <si>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</si>
  <si>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</si>
  <si>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</si>
  <si>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</si>
  <si>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</si>
  <si>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</si>
  <si>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</si>
  <si>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</si>
  <si>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</si>
  <si>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</si>
  <si>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</si>
  <si>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</si>
  <si>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</si>
  <si>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</si>
  <si>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</si>
  <si>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</si>
  <si>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</si>
  <si>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</si>
  <si>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</si>
  <si>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</si>
  <si>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</si>
  <si>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</si>
  <si>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</si>
  <si>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</si>
  <si>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</si>
  <si>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</si>
  <si>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</si>
  <si>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</si>
  <si>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</si>
  <si>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</si>
  <si>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</si>
  <si>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</si>
  <si>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</si>
  <si>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</si>
  <si>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</si>
  <si>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</si>
  <si>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</si>
  <si>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</si>
  <si>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</si>
  <si>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</si>
  <si>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</si>
  <si>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</si>
  <si>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</si>
  <si>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</si>
  <si>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</si>
  <si>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</si>
  <si>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</si>
  <si>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</si>
  <si>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</si>
  <si>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</si>
  <si>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</si>
  <si>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</si>
  <si>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</si>
  <si>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</si>
  <si>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</si>
  <si>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</si>
  <si>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</si>
  <si>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</si>
  <si>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</si>
  <si>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</si>
  <si>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</si>
  <si>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</si>
  <si>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</si>
  <si>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</si>
  <si>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</si>
  <si>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</si>
  <si>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</si>
  <si>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</si>
  <si>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</si>
  <si>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</si>
  <si>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</si>
  <si>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</si>
  <si>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</si>
  <si>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</si>
  <si>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</si>
  <si>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</si>
  <si>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</si>
  <si>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</si>
  <si>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</si>
  <si>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</si>
  <si>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</si>
  <si>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</si>
  <si>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</si>
  <si>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</si>
  <si>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</si>
  <si>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</si>
  <si>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</si>
  <si>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</si>
  <si>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</si>
  <si>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</si>
  <si>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</si>
  <si>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</si>
  <si>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</si>
  <si>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</si>
  <si>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</si>
  <si>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</si>
  <si>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</si>
  <si>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</si>
  <si>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</si>
  <si>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</si>
  <si>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</si>
  <si>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</si>
  <si>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</si>
  <si>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</si>
  <si>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</si>
  <si>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</si>
  <si>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</si>
  <si>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</si>
  <si>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</si>
  <si>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</si>
  <si>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</si>
  <si>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</si>
  <si>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</si>
  <si>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</si>
  <si>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</si>
  <si>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</si>
  <si>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</si>
  <si>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</si>
  <si>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</si>
  <si>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</si>
  <si>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</si>
  <si>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</si>
  <si>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</si>
  <si>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</si>
  <si>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</si>
  <si>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</si>
  <si>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</si>
  <si>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</si>
  <si>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</si>
  <si>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</si>
  <si>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</si>
  <si>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</si>
  <si>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</si>
  <si>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</si>
  <si>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</si>
  <si>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</si>
  <si>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</si>
  <si>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</si>
  <si>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</si>
  <si>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</si>
  <si>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</si>
  <si>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</si>
  <si>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</si>
  <si>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</si>
  <si>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</si>
  <si>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</si>
  <si>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</si>
  <si>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</si>
  <si>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</si>
  <si>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</si>
  <si>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</si>
  <si>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</si>
  <si>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</si>
  <si>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</si>
  <si>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</si>
  <si>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</si>
  <si>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</si>
  <si>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</si>
  <si>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</si>
  <si>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</si>
  <si>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</si>
  <si>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</si>
  <si>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</si>
  <si>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</si>
  <si>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</si>
  <si>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</si>
  <si>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</si>
  <si>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</si>
  <si>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</si>
  <si>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</si>
  <si>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</si>
  <si>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</si>
  <si>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</si>
  <si>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</si>
  <si>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</si>
  <si>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</si>
  <si>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</si>
  <si>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</si>
  <si>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</si>
  <si>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</si>
  <si>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</si>
  <si>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</si>
  <si>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</si>
  <si>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</si>
  <si>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</si>
  <si>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</si>
  <si>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</si>
  <si>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</si>
  <si>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</si>
  <si>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</si>
  <si>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</si>
  <si>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</si>
  <si>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</si>
  <si>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</si>
  <si>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</si>
  <si>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</si>
  <si>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</si>
  <si>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</si>
  <si>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</si>
  <si>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</si>
  <si>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</si>
  <si>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</si>
  <si>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</si>
  <si>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</si>
  <si>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</si>
  <si>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</si>
  <si>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</si>
  <si>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</si>
  <si>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</si>
  <si>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</si>
  <si>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</si>
  <si>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</si>
  <si>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</si>
  <si>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</si>
  <si>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</si>
  <si>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</si>
  <si>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</si>
  <si>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</si>
  <si>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</si>
  <si>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</si>
  <si>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</si>
  <si>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</si>
  <si>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</si>
  <si>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</si>
  <si>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</si>
  <si>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</si>
  <si>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</si>
  <si>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</si>
  <si>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</si>
  <si>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</si>
  <si>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</si>
  <si>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</si>
  <si>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</si>
  <si>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</si>
  <si>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</si>
  <si>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</si>
  <si>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</si>
  <si>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</si>
  <si>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</si>
  <si>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</si>
  <si>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</si>
  <si>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</si>
  <si>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</si>
  <si>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</si>
  <si>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</si>
  <si>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</si>
  <si>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</si>
  <si>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</si>
  <si>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</si>
  <si>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</si>
  <si>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</si>
  <si>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</si>
  <si>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</si>
  <si>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</si>
  <si>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</si>
  <si>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</si>
  <si>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</si>
  <si>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</si>
  <si>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</si>
  <si>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</si>
  <si>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</si>
  <si>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</si>
  <si>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</si>
  <si>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</si>
  <si>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</si>
  <si>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</si>
  <si>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</si>
  <si>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</si>
  <si>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</si>
  <si>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</si>
  <si>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</si>
  <si>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</si>
  <si>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</si>
  <si>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</si>
  <si>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</si>
  <si>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</si>
  <si>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</si>
  <si>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</si>
  <si>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</si>
  <si>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</si>
  <si>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</si>
  <si>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</si>
  <si>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</si>
  <si>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</si>
  <si>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</si>
  <si>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</si>
  <si>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</si>
  <si>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</si>
  <si>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</si>
  <si>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</si>
  <si>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</si>
  <si>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</si>
  <si>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</si>
  <si>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</si>
  <si>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</si>
  <si>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</si>
  <si>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</si>
  <si>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</si>
  <si>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</si>
  <si>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</si>
  <si>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</si>
  <si>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</si>
  <si>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</si>
  <si>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</si>
  <si>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</si>
  <si>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</si>
  <si>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</si>
  <si>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</si>
  <si>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</si>
  <si>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</si>
  <si>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</si>
  <si>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</si>
  <si>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</si>
  <si>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</si>
  <si>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</si>
  <si>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</si>
  <si>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</si>
  <si>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</si>
  <si>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</si>
  <si>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</si>
  <si>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</si>
  <si>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</si>
  <si>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</si>
  <si>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</si>
  <si>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</si>
  <si>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</si>
  <si>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</si>
  <si>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</si>
  <si>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</si>
  <si>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</si>
  <si>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</si>
  <si>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</si>
  <si>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</si>
  <si>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</si>
  <si>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</si>
  <si>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</si>
  <si>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</si>
  <si>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</si>
  <si>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</si>
  <si>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</si>
  <si>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</si>
  <si>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</si>
  <si>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</si>
  <si>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</si>
  <si>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</si>
  <si>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</si>
  <si>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</si>
  <si>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</si>
  <si>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</si>
  <si>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</si>
  <si>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</si>
  <si>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</si>
  <si>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</si>
  <si>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</si>
  <si>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</si>
  <si>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</si>
  <si>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</si>
  <si>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</si>
  <si>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</si>
  <si>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</si>
  <si>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</si>
  <si>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</si>
  <si>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</si>
  <si>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</si>
  <si>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</si>
  <si>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</si>
  <si>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</si>
  <si>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</si>
  <si>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</si>
  <si>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</si>
  <si>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</si>
  <si>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</si>
  <si>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</si>
  <si>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</si>
  <si>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</si>
  <si>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</si>
  <si>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</si>
  <si>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</si>
  <si>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</si>
  <si>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</si>
  <si>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</si>
  <si>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</si>
  <si>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</si>
  <si>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</si>
  <si>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</si>
  <si>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</si>
  <si>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</si>
  <si>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</si>
  <si>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</si>
  <si>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</si>
  <si>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</si>
  <si>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</si>
  <si>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</si>
  <si>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</si>
  <si>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</si>
  <si>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</si>
  <si>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</si>
  <si>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</si>
  <si>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</si>
  <si>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</si>
  <si>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</si>
  <si>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</si>
  <si>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</si>
  <si>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</si>
  <si>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</si>
  <si>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</si>
  <si>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</si>
  <si>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</si>
  <si>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</si>
  <si>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</si>
  <si>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</si>
  <si>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</si>
  <si>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</si>
  <si>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</si>
  <si>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</si>
  <si>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</si>
  <si>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</si>
  <si>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</si>
  <si>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</si>
  <si>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</si>
  <si>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</si>
  <si>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</si>
  <si>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</si>
  <si>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</si>
  <si>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</si>
  <si>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</si>
  <si>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</si>
  <si>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</si>
  <si>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</si>
  <si>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</si>
  <si>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</si>
  <si>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</si>
  <si>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</si>
  <si>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</si>
  <si>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</si>
  <si>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</si>
  <si>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</si>
  <si>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</si>
  <si>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</si>
  <si>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</si>
  <si>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</si>
  <si>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</si>
  <si>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</si>
  <si>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</si>
  <si>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</si>
  <si>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</si>
  <si>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</si>
  <si>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</si>
  <si>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</si>
  <si>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</si>
  <si>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</si>
  <si>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</si>
  <si>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</si>
  <si>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</si>
  <si>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</si>
  <si>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</si>
  <si>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</si>
  <si>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</si>
  <si>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</si>
  <si>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</si>
  <si>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</si>
  <si>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</si>
  <si>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</si>
  <si>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</si>
  <si>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</si>
  <si>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</si>
  <si>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</si>
  <si>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</si>
  <si>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</si>
  <si>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</si>
  <si>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</si>
  <si>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</si>
  <si>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</si>
  <si>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</si>
  <si>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</si>
  <si>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</si>
  <si>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</si>
  <si>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</si>
  <si>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</si>
  <si>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</si>
  <si>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</si>
  <si>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</si>
  <si>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</si>
  <si>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</si>
  <si>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</si>
  <si>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</si>
  <si>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</si>
  <si>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</si>
  <si>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</si>
  <si>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</si>
  <si>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</si>
  <si>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</si>
  <si>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</si>
  <si>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</si>
  <si>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</si>
  <si>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</si>
  <si>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</si>
  <si>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</si>
  <si>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</si>
  <si>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</si>
  <si>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</si>
  <si>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</si>
  <si>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</si>
  <si>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</si>
  <si>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</si>
  <si>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</si>
  <si>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</si>
  <si>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</si>
  <si>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</si>
  <si>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</si>
  <si>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</si>
  <si>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</si>
  <si>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</si>
  <si>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</si>
  <si>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</si>
  <si>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</si>
  <si>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</si>
  <si>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</si>
  <si>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</si>
  <si>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</si>
  <si>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</si>
  <si>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</si>
  <si>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</si>
  <si>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</si>
  <si>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</si>
  <si>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</si>
  <si>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</si>
  <si>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</si>
  <si>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</si>
  <si>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</si>
  <si>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</si>
  <si>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</si>
  <si>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</si>
  <si>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</si>
  <si>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</si>
  <si>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</si>
  <si>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</si>
  <si>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</si>
  <si>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</si>
  <si>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</si>
  <si>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</si>
  <si>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</si>
  <si>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</si>
  <si>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</si>
  <si>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</si>
  <si>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</si>
  <si>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</si>
  <si>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</si>
  <si>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</si>
  <si>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</si>
  <si>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</si>
  <si>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</si>
  <si>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</si>
  <si>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</si>
  <si>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</si>
  <si>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</si>
  <si>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</si>
  <si>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</si>
  <si>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</si>
  <si>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</si>
  <si>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</si>
  <si>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</si>
  <si>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</si>
  <si>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</si>
  <si>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</si>
  <si>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</si>
  <si>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</si>
  <si>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</si>
  <si>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</si>
  <si>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</si>
  <si>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</si>
  <si>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</si>
  <si>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</si>
  <si>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</si>
  <si>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</si>
  <si>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</si>
  <si>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</si>
  <si>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</si>
  <si>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</si>
  <si>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</si>
  <si>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</si>
  <si>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</si>
  <si>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</si>
  <si>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</si>
  <si>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</si>
  <si>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</si>
  <si>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</si>
  <si>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</si>
  <si>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</si>
  <si>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</si>
  <si>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</si>
  <si>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</si>
  <si>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</si>
  <si>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</si>
  <si>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</si>
  <si>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</si>
  <si>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</si>
  <si>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</si>
  <si>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</si>
  <si>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</si>
  <si>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</si>
  <si>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</si>
  <si>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</si>
  <si>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</si>
  <si>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</si>
  <si>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</si>
  <si>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</si>
  <si>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</si>
  <si>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</si>
  <si>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</si>
  <si>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</si>
  <si>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</si>
  <si>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</si>
  <si>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</si>
  <si>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</si>
  <si>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</si>
  <si>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</si>
  <si>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</si>
  <si>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</si>
  <si>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</si>
  <si>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</si>
  <si>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</si>
  <si>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</si>
  <si>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</si>
  <si>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</si>
  <si>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</si>
  <si>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</si>
  <si>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</si>
  <si>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</si>
  <si>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</si>
  <si>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</si>
  <si>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</si>
  <si>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</si>
  <si>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</si>
  <si>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</si>
  <si>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</si>
  <si>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</si>
  <si>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</si>
  <si>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</si>
  <si>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</si>
  <si>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</si>
  <si>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</si>
  <si>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</si>
  <si>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</si>
  <si>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</si>
  <si>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</si>
  <si>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</si>
  <si>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</si>
  <si>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</si>
  <si>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</si>
  <si>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</si>
  <si>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</si>
  <si>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</si>
  <si>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</si>
  <si>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</si>
  <si>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</si>
  <si>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</si>
  <si>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</si>
  <si>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</si>
  <si>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</si>
  <si>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</si>
  <si>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</si>
  <si>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</si>
  <si>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</si>
  <si>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</si>
  <si>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</si>
  <si>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</si>
  <si>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</si>
  <si>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</si>
  <si>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</si>
  <si>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</si>
  <si>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</si>
  <si>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</si>
  <si>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</si>
  <si>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</si>
  <si>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</si>
  <si>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</si>
  <si>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</si>
  <si>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</si>
  <si>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</si>
  <si>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</si>
  <si>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</si>
  <si>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</si>
  <si>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</si>
  <si>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</si>
  <si>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</si>
  <si>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</si>
  <si>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</si>
  <si>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</si>
  <si>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</si>
  <si>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</si>
  <si>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</si>
  <si>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</si>
  <si>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</si>
  <si>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</si>
  <si>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</si>
  <si>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</si>
  <si>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</si>
  <si>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</si>
  <si>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</si>
  <si>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</si>
  <si>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</si>
  <si>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</si>
  <si>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</si>
  <si>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</si>
  <si>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</si>
  <si>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</si>
  <si>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</si>
  <si>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</si>
  <si>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</si>
  <si>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</si>
  <si>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</si>
  <si>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</si>
  <si>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</si>
  <si>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</si>
  <si>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</si>
  <si>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</si>
  <si>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</si>
  <si>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</si>
  <si>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</si>
  <si>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</si>
  <si>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</si>
  <si>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</si>
  <si>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</si>
  <si>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</si>
  <si>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</si>
  <si>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</si>
  <si>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</si>
  <si>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</si>
  <si>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</si>
  <si>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</si>
  <si>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</si>
  <si>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</si>
  <si>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</si>
  <si>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</si>
  <si>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</si>
  <si>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</si>
  <si>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</si>
  <si>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</si>
  <si>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</si>
  <si>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</si>
  <si>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</si>
  <si>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</si>
  <si>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</si>
  <si>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</si>
  <si>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</si>
  <si>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</si>
  <si>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</si>
  <si>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</si>
  <si>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</si>
  <si>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</si>
  <si>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</si>
  <si>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</si>
  <si>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</si>
  <si>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</si>
  <si>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</si>
  <si>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</si>
  <si>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</si>
  <si>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</si>
  <si>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</si>
  <si>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</si>
  <si>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</si>
  <si>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</si>
  <si>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</si>
  <si>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</si>
  <si>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</si>
  <si>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</si>
  <si>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</si>
  <si>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</si>
  <si>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</si>
  <si>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</si>
  <si>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</si>
  <si>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</si>
  <si>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</si>
  <si>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</si>
  <si>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</si>
  <si>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</si>
  <si>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</si>
  <si>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</si>
  <si>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</si>
  <si>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</si>
  <si>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</si>
  <si>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</si>
  <si>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</si>
  <si>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</si>
  <si>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</si>
  <si>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</si>
  <si>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</si>
  <si>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</si>
  <si>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</si>
  <si>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</si>
  <si>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</si>
  <si>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</si>
  <si>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</si>
  <si>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</si>
  <si>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</si>
  <si>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</si>
  <si>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</si>
  <si>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</si>
  <si>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</si>
  <si>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</si>
  <si>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</si>
  <si>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</si>
  <si>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</si>
  <si>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</si>
  <si>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</si>
  <si>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</si>
  <si>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</si>
  <si>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</si>
  <si>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</si>
  <si>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</si>
  <si>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</si>
  <si>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</si>
  <si>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</si>
  <si>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</si>
  <si>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</si>
  <si>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</si>
  <si>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</si>
  <si>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</si>
  <si>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</si>
  <si>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</si>
  <si>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</si>
  <si>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</si>
  <si>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</si>
  <si>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</si>
  <si>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</si>
  <si>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</si>
  <si>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</si>
  <si>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</si>
  <si>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</si>
  <si>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</si>
  <si>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</si>
  <si>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</si>
  <si>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</si>
  <si>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</si>
  <si>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</si>
  <si>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</si>
  <si>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</si>
  <si>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</si>
  <si>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</si>
  <si>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</si>
  <si>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</si>
  <si>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</si>
  <si>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</si>
  <si>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</si>
  <si>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</si>
  <si>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</si>
  <si>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</si>
  <si>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</si>
  <si>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</si>
  <si>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</si>
  <si>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</si>
  <si>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</si>
  <si>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</si>
  <si>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</si>
  <si>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</si>
  <si>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</si>
  <si>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</si>
  <si>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</si>
  <si>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</si>
  <si>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</si>
  <si>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</si>
  <si>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</si>
  <si>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</si>
  <si>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</si>
  <si>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</si>
  <si>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</si>
  <si>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</si>
  <si>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</si>
  <si>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</si>
  <si>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</si>
  <si>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</si>
  <si>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</si>
  <si>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</si>
  <si>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</si>
  <si>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</si>
  <si>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</si>
  <si>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</si>
  <si>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</si>
  <si>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</si>
  <si>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</si>
  <si>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</si>
  <si>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</si>
  <si>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</si>
  <si>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</si>
  <si>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</si>
  <si>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</si>
  <si>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</si>
  <si>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</si>
  <si>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</si>
  <si>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</si>
  <si>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</si>
  <si>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</si>
  <si>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</si>
  <si>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</si>
  <si>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</si>
  <si>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</si>
  <si>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</si>
  <si>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</si>
  <si>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</si>
  <si>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</si>
  <si>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</si>
  <si>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</si>
  <si>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</si>
  <si>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</si>
  <si>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</si>
  <si>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</si>
  <si>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</si>
  <si>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</si>
  <si>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</si>
  <si>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</si>
  <si>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</si>
  <si>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</si>
  <si>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</si>
  <si>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</si>
  <si>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</si>
  <si>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</si>
  <si>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</si>
  <si>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</si>
  <si>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</si>
  <si>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</si>
  <si>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</si>
  <si>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</si>
  <si>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</si>
  <si>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</si>
  <si>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</si>
  <si>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</si>
  <si>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</si>
  <si>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</si>
  <si>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</si>
  <si>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</si>
  <si>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</si>
  <si>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</si>
  <si>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</si>
  <si>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</si>
  <si>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</si>
  <si>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</si>
  <si>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</si>
  <si>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</si>
  <si>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</si>
  <si>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</si>
  <si>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</si>
  <si>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</si>
  <si>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</si>
  <si>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</si>
  <si>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</si>
  <si>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</si>
  <si>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</si>
  <si>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</si>
  <si>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</si>
  <si>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</si>
  <si>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</si>
  <si>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</si>
  <si>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</si>
  <si>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</si>
  <si>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</si>
  <si>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</si>
  <si>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</si>
  <si>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</si>
  <si>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</si>
  <si>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</si>
  <si>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</si>
  <si>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</si>
  <si>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</si>
  <si>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</si>
  <si>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</si>
  <si>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</si>
  <si>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</si>
  <si>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</si>
  <si>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</si>
  <si>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</si>
  <si>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</si>
  <si>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</si>
  <si>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</si>
  <si>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</si>
  <si>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</si>
  <si>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</si>
  <si>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</si>
  <si>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</si>
  <si>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</si>
  <si>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</si>
  <si>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</si>
  <si>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</si>
  <si>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</si>
  <si>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</si>
  <si>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</si>
  <si>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</si>
  <si>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</si>
  <si>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</si>
  <si>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</si>
  <si>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</si>
  <si>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</si>
  <si>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</si>
  <si>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</si>
  <si>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</si>
  <si>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</si>
  <si>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</si>
  <si>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</si>
  <si>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</si>
  <si>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</si>
  <si>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</si>
  <si>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</si>
  <si>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</si>
  <si>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</si>
  <si>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</si>
  <si>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</si>
  <si>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</si>
  <si>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</si>
  <si>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</si>
  <si>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</si>
  <si>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</si>
  <si>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</si>
  <si>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</si>
  <si>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</si>
  <si>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</si>
  <si>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</si>
  <si>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</si>
  <si>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</si>
  <si>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</si>
  <si>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</si>
  <si>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</si>
  <si>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</si>
  <si>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</si>
  <si>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</si>
  <si>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</si>
  <si>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</si>
  <si>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</si>
  <si>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</si>
  <si>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</si>
  <si>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</si>
  <si>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</si>
  <si>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</si>
  <si>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</si>
  <si>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</si>
  <si>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</si>
  <si>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</si>
  <si>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</si>
  <si>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</si>
  <si>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</si>
  <si>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</si>
  <si>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</si>
  <si>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</si>
  <si>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</si>
  <si>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</si>
  <si>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</si>
  <si>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</si>
  <si>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</si>
  <si>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</si>
  <si>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</si>
  <si>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</si>
  <si>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</si>
  <si>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</si>
  <si>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</si>
  <si>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</si>
  <si>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</si>
  <si>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</si>
  <si>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</si>
  <si>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</si>
  <si>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</si>
  <si>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</si>
  <si>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</si>
  <si>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</si>
  <si>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</si>
  <si>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</si>
  <si>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</si>
  <si>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</si>
  <si>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</si>
  <si>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</si>
  <si>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</si>
  <si>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</si>
  <si>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</si>
  <si>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</si>
  <si>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</si>
  <si>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</si>
  <si>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</si>
  <si>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</si>
  <si>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</si>
  <si>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</si>
  <si>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</si>
  <si>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</si>
  <si>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</si>
  <si>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</si>
  <si>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</si>
  <si>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</si>
  <si>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</si>
  <si>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</si>
  <si>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</si>
  <si>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</si>
  <si>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</si>
  <si>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</si>
  <si>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</si>
  <si>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</si>
  <si>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</si>
  <si>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</si>
  <si>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</si>
  <si>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</si>
  <si>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</si>
  <si>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</si>
  <si>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</si>
  <si>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</si>
  <si>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</si>
  <si>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</si>
  <si>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</si>
  <si>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</si>
  <si>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</si>
  <si>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</si>
  <si>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</si>
  <si>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</si>
  <si>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</si>
  <si>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</si>
  <si>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</si>
  <si>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</si>
  <si>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</si>
  <si>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</si>
  <si>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</si>
  <si>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</si>
  <si>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</si>
  <si>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</si>
  <si>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</si>
  <si>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</si>
  <si>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</si>
  <si>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</si>
  <si>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</si>
  <si>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</si>
  <si>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</si>
  <si>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</si>
  <si>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</si>
  <si>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</si>
  <si>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</si>
  <si>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</si>
  <si>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</si>
  <si>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</si>
  <si>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</si>
  <si>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</si>
  <si>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</si>
  <si>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</si>
  <si>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</si>
  <si>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</si>
  <si>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</si>
  <si>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</si>
  <si>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</si>
  <si>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</si>
  <si>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</si>
  <si>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</si>
  <si>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</si>
  <si>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</si>
  <si>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</si>
  <si>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</si>
  <si>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</si>
  <si>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</si>
  <si>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</si>
  <si>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</si>
  <si>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</si>
  <si>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</si>
  <si>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</si>
  <si>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</si>
  <si>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</si>
  <si>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</si>
  <si>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</si>
  <si>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</si>
  <si>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</si>
  <si>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</si>
  <si>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</si>
  <si>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</si>
  <si>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</si>
  <si>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</si>
  <si>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</si>
  <si>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</si>
  <si>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</si>
  <si>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</si>
  <si>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</si>
  <si>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</si>
  <si>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</si>
  <si>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</si>
  <si>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</si>
  <si>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</si>
  <si>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</si>
  <si>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</si>
  <si>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</si>
  <si>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</si>
  <si>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</si>
  <si>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</si>
  <si>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</si>
  <si>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</si>
  <si>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</si>
  <si>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</si>
  <si>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</si>
  <si>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</si>
  <si>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</si>
  <si>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</si>
  <si>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</si>
  <si>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</si>
  <si>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</si>
  <si>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</si>
  <si>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</si>
  <si>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</si>
  <si>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</si>
  <si>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</si>
  <si>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</si>
  <si>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</si>
  <si>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</si>
  <si>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</si>
  <si>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</si>
  <si>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</si>
  <si>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</si>
  <si>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</si>
  <si>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</si>
  <si>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</si>
  <si>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</si>
  <si>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</si>
  <si>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</si>
  <si>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</si>
  <si>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</si>
  <si>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</si>
  <si>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</si>
  <si>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</si>
  <si>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</si>
  <si>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</si>
  <si>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</si>
  <si>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</si>
  <si>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</si>
  <si>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</si>
  <si>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</si>
  <si>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</si>
  <si>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</si>
  <si>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</si>
  <si>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</si>
  <si>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</si>
  <si>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</si>
  <si>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</si>
  <si>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</si>
  <si>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</si>
  <si>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</si>
  <si>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</si>
  <si>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</si>
  <si>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</si>
  <si>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</si>
  <si>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</si>
  <si>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</si>
  <si>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</si>
  <si>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</si>
  <si>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</si>
  <si>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</si>
  <si>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</si>
  <si>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</si>
  <si>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</si>
  <si>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</si>
  <si>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</si>
  <si>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</si>
  <si>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</si>
  <si>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</si>
  <si>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</si>
  <si>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</si>
  <si>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</si>
  <si>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</si>
  <si>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</si>
  <si>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</si>
  <si>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</si>
  <si>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</si>
  <si>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</si>
  <si>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</si>
  <si>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</si>
  <si>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</si>
  <si>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</si>
  <si>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</si>
  <si>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</si>
  <si>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</si>
  <si>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</si>
  <si>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</si>
  <si>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</si>
  <si>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</si>
  <si>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</si>
  <si>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</si>
  <si>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</si>
  <si>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</si>
  <si>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</si>
  <si>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</si>
  <si>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</si>
  <si>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</si>
  <si>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</si>
  <si>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</si>
  <si>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</si>
  <si>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</si>
  <si>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</si>
  <si>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</si>
  <si>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</si>
  <si>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</si>
  <si>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</si>
  <si>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</si>
  <si>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</si>
  <si>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</si>
  <si>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</si>
  <si>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</si>
  <si>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</si>
  <si>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</si>
  <si>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</si>
  <si>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</si>
  <si>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</si>
  <si>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</si>
  <si>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</si>
  <si>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</si>
  <si>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</si>
  <si>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</si>
  <si>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</si>
  <si>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</si>
  <si>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</si>
  <si>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</si>
  <si>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</si>
  <si>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</si>
  <si>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</si>
  <si>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</si>
  <si>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</si>
  <si>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</si>
  <si>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</si>
  <si>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</si>
  <si>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</si>
  <si>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</si>
  <si>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</si>
  <si>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</si>
  <si>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</si>
  <si>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</si>
  <si>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</si>
  <si>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</si>
  <si>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</si>
  <si>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</si>
  <si>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</si>
  <si>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</si>
  <si>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</si>
  <si>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</si>
  <si>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</si>
  <si>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</si>
  <si>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</si>
  <si>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</si>
  <si>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</si>
  <si>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</si>
  <si>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</si>
  <si>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</si>
  <si>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</si>
  <si>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</si>
  <si>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</si>
  <si>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</si>
  <si>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</si>
  <si>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</si>
  <si>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</si>
  <si>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</si>
  <si>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</si>
  <si>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</si>
  <si>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</si>
  <si>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</si>
  <si>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</si>
  <si>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</si>
  <si>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</si>
  <si>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</si>
  <si>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</si>
  <si>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</si>
  <si>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</si>
  <si>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</si>
  <si>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</si>
  <si>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</si>
  <si>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</si>
  <si>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</si>
  <si>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</si>
  <si>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</si>
  <si>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</si>
  <si>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</si>
  <si>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</si>
  <si>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</si>
  <si>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</si>
  <si>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</si>
  <si>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</si>
  <si>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</si>
  <si>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</si>
  <si>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</si>
  <si>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</si>
  <si>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</si>
  <si>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</si>
  <si>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</si>
  <si>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</si>
  <si>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</si>
  <si>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</si>
  <si>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</si>
  <si>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</si>
  <si>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</si>
  <si>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</si>
  <si>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</si>
  <si>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</si>
  <si>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</si>
  <si>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</si>
  <si>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</si>
  <si>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</si>
  <si>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</si>
  <si>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</si>
  <si>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</si>
  <si>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</si>
  <si>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</si>
  <si>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</si>
  <si>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</si>
  <si>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</si>
  <si>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</si>
  <si>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</si>
  <si>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</si>
  <si>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</si>
  <si>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</si>
  <si>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</si>
  <si>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</si>
  <si>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</si>
  <si>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</si>
  <si>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</si>
  <si>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</si>
  <si>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</si>
  <si>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</si>
  <si>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</si>
  <si>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</si>
  <si>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</si>
  <si>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</si>
  <si>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</si>
  <si>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</si>
  <si>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</si>
  <si>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</si>
  <si>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</si>
  <si>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</si>
  <si>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</si>
  <si>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</si>
  <si>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</si>
  <si>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</si>
  <si>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</si>
  <si>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</si>
  <si>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</si>
  <si>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</si>
  <si>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</si>
  <si>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</si>
  <si>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</si>
  <si>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</si>
  <si>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</si>
  <si>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</si>
  <si>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</si>
  <si>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</si>
  <si>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</si>
  <si>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</si>
  <si>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</si>
  <si>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</si>
  <si>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</si>
  <si>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</si>
  <si>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</si>
  <si>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</si>
  <si>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</si>
  <si>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</si>
  <si>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</si>
  <si>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</si>
  <si>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</si>
  <si>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</si>
  <si>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</si>
  <si>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</si>
  <si>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</si>
  <si>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</si>
  <si>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</si>
  <si>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</si>
  <si>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</si>
  <si>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</si>
  <si>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</si>
  <si>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</si>
  <si>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</si>
  <si>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</si>
  <si>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</si>
  <si>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</si>
  <si>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</si>
  <si>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</si>
  <si>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</si>
  <si>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</si>
  <si>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</si>
  <si>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</si>
  <si>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</si>
  <si>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</si>
  <si>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</si>
  <si>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</si>
  <si>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</si>
  <si>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</si>
  <si>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</si>
  <si>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</si>
  <si>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</si>
  <si>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</si>
  <si>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</si>
  <si>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</si>
  <si>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</si>
  <si>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</si>
  <si>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</si>
  <si>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</si>
  <si>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</si>
  <si>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</si>
  <si>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</si>
  <si>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</si>
  <si>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</si>
  <si>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</si>
  <si>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</si>
  <si>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</si>
  <si>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</si>
  <si>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</si>
  <si>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</si>
  <si>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</si>
  <si>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</si>
  <si>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</si>
  <si>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</si>
  <si>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</si>
  <si>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</si>
  <si>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</si>
  <si>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</si>
  <si>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</si>
  <si>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</si>
  <si>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</si>
  <si>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</si>
  <si>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</si>
  <si>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</si>
  <si>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</si>
  <si>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</si>
  <si>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</si>
  <si>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</si>
  <si>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</si>
  <si>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</si>
  <si>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</si>
  <si>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</si>
  <si>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</si>
  <si>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</si>
  <si>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</si>
  <si>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</si>
  <si>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</si>
  <si>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</si>
  <si>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</si>
  <si>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</si>
  <si>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</si>
  <si>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</si>
  <si>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</si>
  <si>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</si>
  <si>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</si>
  <si>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</si>
  <si>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</si>
  <si>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</si>
  <si>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</si>
  <si>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</si>
  <si>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</si>
  <si>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</si>
  <si>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</si>
  <si>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</si>
  <si>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</si>
  <si>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</si>
  <si>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</si>
  <si>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</si>
  <si>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</si>
  <si>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</si>
  <si>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</si>
  <si>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</si>
  <si>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</si>
  <si>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</si>
  <si>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</si>
  <si>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</si>
  <si>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</si>
  <si>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</si>
  <si>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</si>
  <si>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</si>
  <si>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</si>
  <si>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</si>
  <si>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</si>
  <si>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</si>
  <si>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</si>
  <si>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</si>
  <si>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</si>
  <si>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</si>
  <si>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</si>
  <si>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</si>
  <si>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</si>
  <si>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</si>
  <si>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</si>
  <si>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</si>
  <si>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</si>
  <si>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</si>
  <si>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</si>
  <si>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</si>
  <si>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</si>
  <si>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</si>
  <si>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</si>
  <si>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</si>
  <si>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</si>
  <si>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</si>
  <si>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</si>
  <si>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</si>
  <si>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</si>
  <si>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</si>
  <si>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</si>
  <si>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</si>
  <si>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</si>
  <si>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</si>
  <si>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</si>
  <si>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</si>
  <si>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</si>
  <si>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</si>
  <si>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</si>
  <si>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</si>
  <si>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</si>
  <si>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</si>
  <si>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</si>
  <si>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</si>
  <si>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</si>
  <si>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</si>
  <si>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</si>
  <si>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</si>
  <si>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</si>
  <si>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</si>
  <si>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</si>
  <si>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</si>
  <si>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</si>
  <si>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</si>
  <si>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</si>
  <si>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</si>
  <si>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</si>
  <si>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</si>
  <si>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</si>
  <si>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</si>
  <si>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</si>
  <si>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</si>
  <si>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</si>
  <si>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</si>
  <si>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</si>
  <si>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</si>
  <si>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</si>
  <si>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</si>
  <si>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</si>
  <si>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</si>
  <si>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</si>
  <si>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</si>
  <si>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</si>
  <si>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</si>
  <si>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</si>
  <si>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</si>
  <si>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</si>
  <si>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</si>
  <si>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</si>
  <si>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</si>
  <si>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</si>
  <si>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</si>
  <si>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</si>
  <si>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</si>
  <si>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</si>
  <si>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</si>
  <si>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</si>
  <si>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</si>
  <si>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</si>
  <si>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</si>
  <si>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</si>
  <si>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</si>
  <si>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</si>
  <si>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</si>
  <si>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</si>
  <si>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</si>
  <si>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</si>
  <si>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</si>
  <si>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</si>
  <si>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</si>
  <si>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</si>
  <si>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</si>
  <si>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</si>
  <si>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</si>
  <si>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</si>
  <si>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</si>
  <si>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</si>
  <si>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</si>
  <si>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</si>
  <si>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</si>
  <si>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</si>
  <si>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</si>
  <si>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</si>
  <si>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</si>
  <si>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</si>
  <si>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</si>
  <si>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</si>
  <si>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</si>
  <si>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</si>
  <si>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</si>
  <si>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</si>
  <si>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</si>
  <si>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</si>
  <si>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</si>
  <si>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</si>
  <si>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</si>
  <si>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</si>
  <si>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</si>
  <si>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</si>
  <si>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</si>
  <si>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</si>
  <si>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</si>
  <si>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</si>
  <si>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</si>
  <si>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</si>
  <si>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</si>
  <si>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</si>
  <si>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</si>
  <si>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</si>
  <si>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</si>
  <si>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</si>
  <si>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</si>
  <si>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</si>
  <si>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</si>
  <si>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</si>
  <si>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</si>
  <si>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</si>
  <si>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</si>
  <si>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</si>
  <si>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</si>
  <si>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</si>
  <si>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</si>
  <si>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</si>
  <si>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</si>
  <si>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</si>
  <si>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</si>
  <si>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</si>
  <si>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</si>
  <si>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</si>
  <si>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</si>
  <si>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</si>
  <si>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</si>
  <si>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</si>
  <si>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</si>
  <si>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</si>
  <si>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</si>
  <si>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</si>
  <si>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</si>
  <si>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</si>
  <si>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</si>
  <si>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</si>
  <si>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</si>
  <si>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</si>
  <si>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</si>
  <si>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</si>
  <si>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</si>
  <si>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</si>
  <si>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</si>
  <si>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</si>
  <si>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</si>
  <si>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</si>
  <si>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</si>
  <si>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</si>
  <si>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</si>
  <si>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</si>
  <si>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</si>
  <si>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</si>
  <si>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</si>
  <si>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</si>
  <si>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</si>
  <si>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</si>
  <si>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</si>
  <si>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</si>
  <si>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</si>
  <si>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</si>
  <si>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</si>
  <si>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</si>
  <si>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</si>
  <si>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</si>
  <si>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</si>
  <si>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</si>
  <si>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</si>
  <si>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</si>
  <si>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</si>
  <si>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</si>
  <si>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</si>
  <si>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</si>
  <si>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</si>
  <si>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</si>
  <si>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</si>
  <si>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</si>
  <si>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</si>
  <si>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</si>
  <si>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</si>
  <si>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</si>
  <si>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</si>
  <si>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</si>
  <si>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</si>
  <si>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</si>
  <si>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</si>
  <si>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</si>
  <si>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</si>
  <si>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</si>
  <si>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</si>
  <si>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</si>
  <si>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</si>
  <si>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</si>
  <si>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</si>
  <si>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</si>
  <si>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</si>
  <si>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</si>
  <si>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</si>
  <si>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</si>
  <si>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</si>
  <si>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</si>
  <si>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</si>
  <si>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</si>
  <si>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</si>
  <si>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</si>
  <si>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</si>
  <si>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</si>
  <si>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</si>
  <si>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</si>
  <si>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</si>
  <si>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</si>
  <si>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</si>
  <si>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</si>
  <si>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</si>
  <si>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</si>
  <si>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</si>
  <si>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</si>
  <si>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</si>
  <si>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</si>
  <si>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</si>
  <si>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</si>
  <si>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</si>
  <si>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</si>
  <si>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</si>
  <si>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</si>
  <si>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</si>
  <si>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</si>
  <si>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</si>
  <si>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</si>
  <si>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</si>
  <si>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</si>
  <si>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</si>
  <si>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</si>
  <si>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</si>
  <si>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</si>
  <si>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</si>
  <si>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</si>
  <si>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</si>
  <si>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</si>
  <si>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</si>
  <si>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</si>
  <si>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</si>
  <si>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</si>
  <si>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</si>
  <si>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</si>
  <si>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</si>
  <si>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</si>
  <si>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</si>
  <si>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</si>
  <si>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</si>
  <si>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</si>
  <si>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</si>
  <si>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</si>
  <si>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</si>
  <si>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</si>
  <si>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</si>
  <si>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</si>
  <si>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</si>
  <si>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</si>
  <si>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</si>
  <si>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</si>
  <si>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</si>
  <si>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</si>
  <si>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</si>
  <si>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</si>
  <si>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</si>
  <si>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</si>
  <si>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</si>
  <si>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</si>
  <si>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</si>
  <si>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</si>
  <si>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</si>
  <si>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</si>
  <si>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</si>
  <si>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</si>
  <si>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</si>
  <si>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</si>
  <si>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</si>
  <si>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</si>
  <si>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</si>
  <si>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</si>
  <si>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</si>
  <si>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</si>
  <si>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</si>
  <si>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</si>
  <si>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</si>
  <si>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</si>
  <si>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</si>
  <si>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</si>
  <si>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</si>
  <si>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</si>
  <si>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</si>
  <si>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</si>
  <si>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</si>
  <si>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</si>
  <si>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</si>
  <si>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</si>
  <si>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</si>
  <si>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</si>
  <si>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</si>
  <si>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</si>
  <si>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</si>
  <si>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</si>
  <si>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</si>
  <si>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</si>
  <si>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</si>
  <si>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</si>
  <si>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</si>
  <si>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</si>
  <si>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</si>
  <si>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</si>
  <si>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</si>
  <si>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</si>
  <si>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</si>
  <si>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</si>
  <si>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</si>
  <si>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</si>
  <si>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</si>
  <si>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</si>
  <si>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</si>
  <si>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</si>
  <si>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</si>
  <si>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</si>
  <si>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</si>
  <si>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</si>
  <si>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</si>
  <si>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</si>
  <si>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</si>
  <si>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</si>
  <si>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</si>
  <si>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</si>
  <si>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</si>
  <si>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</si>
  <si>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</si>
  <si>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</si>
  <si>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</si>
  <si>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</si>
  <si>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</si>
  <si>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</si>
  <si>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</si>
  <si>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</si>
  <si>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</si>
  <si>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</si>
  <si>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</si>
  <si>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</si>
  <si>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</si>
  <si>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</si>
  <si>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</si>
  <si>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</si>
  <si>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</si>
  <si>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</si>
  <si>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</si>
  <si>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</si>
  <si>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</si>
  <si>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</si>
  <si>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</si>
  <si>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</si>
  <si>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</si>
  <si>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</si>
  <si>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</si>
  <si>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</si>
  <si>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</si>
  <si>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</si>
  <si>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</si>
  <si>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</si>
  <si>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</si>
  <si>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</si>
  <si>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</si>
  <si>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</si>
  <si>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</si>
  <si>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</si>
  <si>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</si>
  <si>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</si>
  <si>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</si>
  <si>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</si>
  <si>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</si>
  <si>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</si>
  <si>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</si>
  <si>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</si>
  <si>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</si>
  <si>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</si>
  <si>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</si>
  <si>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</si>
  <si>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</si>
  <si>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</si>
  <si>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</si>
  <si>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</si>
  <si>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</si>
  <si>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</si>
  <si>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</si>
  <si>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</si>
  <si>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</si>
  <si>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</si>
  <si>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</si>
  <si>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</si>
  <si>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</si>
  <si>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</si>
  <si>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</si>
  <si>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</si>
  <si>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</si>
  <si>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</si>
  <si>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</si>
  <si>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</si>
  <si>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</si>
  <si>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</si>
  <si>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</si>
  <si>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</si>
  <si>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</si>
  <si>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</si>
  <si>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</si>
  <si>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</si>
  <si>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</si>
  <si>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</si>
  <si>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</si>
  <si>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</si>
  <si>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</si>
  <si>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</si>
  <si>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</si>
  <si>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</si>
  <si>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</si>
  <si>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</si>
  <si>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</si>
  <si>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</si>
  <si>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</si>
  <si>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</si>
  <si>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</si>
  <si>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</si>
  <si>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</si>
  <si>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</si>
  <si>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</si>
  <si>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</si>
  <si>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</si>
  <si>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</si>
  <si>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</si>
  <si>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</si>
  <si>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</si>
  <si>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</si>
  <si>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</si>
  <si>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</si>
  <si>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</si>
  <si>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</si>
  <si>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</si>
  <si>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</si>
  <si>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</si>
  <si>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</si>
  <si>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</si>
  <si>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</si>
  <si>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</si>
  <si>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</si>
  <si>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</si>
  <si>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</si>
  <si>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</si>
  <si>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</si>
  <si>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</si>
  <si>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</si>
  <si>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</si>
  <si>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</si>
  <si>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</si>
  <si>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</si>
  <si>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</si>
  <si>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</si>
  <si>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</si>
  <si>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</si>
  <si>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</si>
  <si>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</si>
  <si>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</si>
  <si>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</si>
  <si>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</si>
  <si>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</si>
  <si>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</si>
  <si>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</si>
  <si>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</si>
  <si>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</si>
  <si>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</si>
  <si>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</si>
  <si>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</si>
  <si>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</si>
  <si>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</si>
  <si>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</si>
  <si>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</si>
  <si>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</si>
  <si>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</si>
  <si>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</si>
  <si>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</si>
  <si>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</si>
  <si>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</si>
  <si>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</si>
  <si>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</si>
  <si>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</si>
  <si>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</si>
  <si>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</si>
  <si>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</si>
  <si>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</si>
  <si>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</si>
  <si>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</si>
  <si>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</si>
  <si>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</si>
  <si>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</si>
  <si>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</si>
  <si>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</si>
  <si>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</si>
  <si>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</si>
  <si>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</si>
  <si>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</si>
  <si>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</si>
  <si>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</si>
  <si>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</si>
  <si>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</si>
  <si>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</si>
  <si>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</si>
  <si>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</si>
  <si>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</si>
  <si>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</si>
  <si>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</si>
  <si>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</si>
  <si>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</si>
  <si>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</si>
  <si>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</si>
  <si>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</si>
  <si>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</si>
  <si>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</si>
  <si>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</si>
  <si>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</si>
  <si>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</si>
  <si>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</si>
  <si>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</si>
  <si>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</si>
  <si>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</si>
  <si>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</si>
  <si>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</si>
  <si>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</si>
  <si>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</si>
  <si>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</si>
  <si>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</si>
  <si>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</si>
  <si>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</si>
  <si>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</si>
  <si>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</si>
  <si>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</si>
  <si>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</si>
  <si>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</si>
  <si>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</si>
  <si>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</si>
  <si>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</si>
  <si>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</si>
  <si>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</si>
  <si>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</si>
  <si>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</si>
  <si>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</si>
  <si>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</si>
  <si>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</si>
  <si>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</si>
  <si>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</si>
  <si>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</si>
  <si>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</si>
  <si>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</si>
  <si>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</si>
  <si>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</si>
  <si>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</si>
  <si>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</si>
  <si>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</si>
  <si>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</si>
  <si>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</si>
  <si>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</si>
  <si>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</si>
  <si>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</si>
  <si>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</si>
  <si>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</si>
  <si>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</si>
  <si>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</si>
  <si>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</si>
  <si>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</si>
  <si>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</si>
  <si>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</si>
  <si>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</si>
  <si>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</si>
  <si>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</si>
  <si>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</si>
  <si>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</si>
  <si>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</si>
  <si>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</si>
  <si>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</si>
  <si>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</si>
  <si>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</si>
  <si>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</si>
  <si>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</si>
  <si>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</si>
  <si>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</si>
  <si>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</si>
  <si>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</si>
  <si>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</si>
  <si>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</si>
  <si>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</si>
  <si>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</si>
  <si>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</si>
  <si>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</si>
  <si>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</si>
  <si>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</si>
  <si>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</si>
  <si>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</si>
  <si>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</si>
  <si>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</si>
  <si>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</si>
  <si>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</si>
  <si>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</si>
  <si>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</si>
  <si>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</si>
  <si>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</si>
  <si>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</si>
  <si>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</si>
  <si>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</si>
  <si>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</si>
  <si>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</si>
  <si>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</si>
  <si>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</si>
  <si>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</si>
  <si>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</si>
  <si>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</si>
  <si>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</si>
  <si>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</si>
  <si>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</si>
  <si>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</si>
  <si>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</si>
  <si>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</si>
  <si>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</si>
  <si>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</si>
  <si>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</si>
  <si>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</si>
  <si>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</si>
  <si>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</si>
  <si>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</si>
  <si>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</si>
  <si>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</si>
  <si>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</si>
  <si>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</si>
  <si>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</si>
  <si>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</si>
  <si>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</si>
  <si>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</si>
  <si>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</si>
  <si>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</si>
  <si>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</si>
  <si>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</si>
  <si>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</si>
  <si>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</si>
  <si>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</si>
  <si>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</si>
  <si>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</si>
  <si>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</si>
  <si>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</si>
  <si>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</si>
  <si>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</si>
  <si>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</si>
  <si>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</si>
  <si>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</si>
  <si>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</si>
  <si>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</si>
  <si>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</si>
  <si>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</si>
  <si>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</si>
  <si>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</si>
  <si>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</si>
  <si>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</si>
  <si>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</si>
  <si>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</si>
  <si>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</si>
  <si>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</si>
  <si>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</si>
  <si>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</si>
  <si>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</si>
  <si>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</si>
  <si>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</si>
  <si>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</si>
  <si>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</si>
  <si>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</si>
  <si>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</si>
  <si>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</si>
  <si>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</si>
  <si>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</si>
  <si>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</si>
  <si>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</si>
  <si>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</si>
  <si>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</si>
  <si>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</si>
  <si>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</si>
  <si>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</si>
  <si>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</si>
  <si>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</si>
  <si>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</si>
  <si>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</si>
  <si>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</si>
  <si>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</si>
  <si>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</si>
  <si>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</si>
  <si>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</si>
  <si>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</si>
  <si>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</si>
  <si>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</si>
  <si>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</si>
  <si>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</si>
  <si>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</si>
  <si>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</si>
  <si>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</si>
  <si>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</si>
  <si>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</si>
  <si>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</si>
  <si>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</si>
  <si>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</si>
  <si>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</si>
  <si>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</si>
  <si>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</si>
  <si>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</si>
  <si>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</si>
  <si>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</si>
  <si>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</si>
  <si>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</si>
  <si>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</si>
  <si>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</si>
  <si>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</si>
  <si>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</si>
  <si>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</si>
  <si>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</si>
  <si>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</si>
  <si>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</si>
  <si>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</si>
  <si>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</si>
  <si>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</si>
  <si>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</si>
  <si>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</si>
  <si>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</si>
  <si>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</si>
  <si>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</si>
  <si>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</si>
  <si>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</si>
  <si>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</si>
  <si>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</si>
  <si>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</si>
  <si>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</si>
  <si>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</si>
  <si>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</si>
  <si>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</si>
  <si>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</si>
  <si>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</si>
  <si>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</si>
  <si>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</si>
  <si>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</si>
  <si>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</si>
  <si>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</si>
  <si>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</si>
  <si>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</si>
  <si>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</si>
  <si>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</si>
  <si>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</si>
  <si>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</si>
  <si>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</si>
  <si>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</si>
  <si>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</si>
  <si>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</si>
  <si>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</si>
  <si>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</si>
  <si>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</si>
  <si>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</si>
  <si>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</si>
  <si>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</si>
  <si>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</si>
  <si>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</si>
  <si>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</si>
  <si>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</si>
  <si>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</si>
  <si>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</si>
  <si>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</si>
  <si>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</si>
  <si>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</si>
  <si>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</si>
  <si>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</si>
  <si>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</si>
  <si>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</si>
  <si>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</si>
  <si>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</si>
  <si>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</si>
  <si>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</si>
  <si>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</si>
  <si>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</si>
  <si>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</si>
  <si>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</si>
  <si>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</si>
  <si>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</si>
  <si>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</si>
  <si>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</si>
  <si>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</si>
  <si>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</si>
  <si>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</si>
  <si>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</si>
  <si>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</si>
  <si>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</si>
  <si>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</si>
  <si>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</si>
  <si>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</si>
  <si>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</si>
  <si>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</si>
  <si>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</si>
  <si>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</si>
  <si>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</si>
  <si>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</si>
  <si>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</si>
  <si>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</si>
  <si>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</si>
  <si>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</si>
  <si>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</si>
  <si>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</si>
  <si>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</si>
  <si>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</si>
  <si>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</si>
  <si>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</si>
  <si>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</si>
  <si>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</si>
  <si>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</si>
  <si>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</si>
  <si>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</si>
  <si>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</si>
  <si>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</si>
  <si>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</si>
  <si>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</si>
  <si>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</si>
  <si>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</si>
  <si>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</si>
  <si>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</si>
  <si>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</si>
  <si>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</si>
  <si>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</si>
  <si>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</si>
  <si>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</si>
  <si>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</si>
  <si>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</si>
  <si>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</si>
  <si>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</si>
  <si>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</si>
  <si>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</si>
  <si>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</si>
  <si>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</si>
  <si>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</si>
  <si>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</si>
  <si>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</si>
  <si>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</si>
  <si>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</si>
  <si>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</si>
  <si>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</si>
  <si>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</si>
  <si>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</si>
  <si>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</si>
  <si>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</si>
  <si>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</si>
  <si>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</si>
  <si>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</si>
  <si>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</si>
  <si>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</si>
  <si>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</si>
  <si>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</si>
  <si>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</si>
  <si>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</si>
  <si>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</si>
  <si>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</si>
  <si>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</si>
  <si>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</si>
  <si>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</si>
  <si>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</si>
  <si>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</si>
  <si>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</si>
  <si>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</si>
  <si>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</si>
  <si>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</si>
  <si>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</si>
  <si>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</si>
  <si>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</si>
  <si>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</si>
  <si>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</si>
  <si>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</si>
  <si>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</si>
  <si>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</si>
  <si>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</si>
  <si>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</si>
  <si>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</si>
  <si>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</si>
  <si>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</si>
  <si>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</si>
  <si>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</si>
  <si>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</si>
  <si>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</si>
  <si>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</si>
  <si>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</si>
  <si>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</si>
  <si>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</si>
  <si>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</si>
  <si>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</si>
  <si>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</si>
  <si>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</si>
  <si>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</si>
  <si>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</si>
  <si>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</si>
  <si>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</si>
  <si>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</si>
  <si>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</si>
  <si>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</si>
  <si>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</si>
  <si>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</si>
  <si>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</si>
  <si>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</si>
  <si>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</si>
  <si>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</si>
  <si>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</si>
  <si>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</si>
  <si>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</si>
  <si>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</si>
  <si>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</si>
  <si>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</si>
  <si>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</si>
  <si>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</si>
  <si>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</si>
  <si>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</si>
  <si>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</si>
  <si>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</si>
  <si>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</si>
  <si>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</si>
  <si>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</si>
  <si>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</si>
  <si>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</si>
  <si>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</si>
  <si>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</si>
  <si>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</si>
  <si>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</si>
  <si>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</si>
  <si>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</si>
  <si>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</si>
  <si>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</si>
  <si>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</si>
  <si>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</si>
  <si>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</si>
  <si>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</si>
  <si>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</si>
  <si>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</si>
  <si>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</si>
  <si>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</si>
  <si>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</si>
  <si>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</si>
  <si>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</si>
  <si>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</si>
  <si>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</si>
  <si>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</si>
  <si>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</si>
  <si>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</si>
  <si>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</si>
  <si>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</si>
  <si>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</si>
  <si>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</si>
  <si>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</si>
  <si>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</si>
  <si>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</si>
  <si>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</si>
  <si>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</si>
  <si>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</si>
  <si>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</si>
  <si>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</si>
  <si>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</si>
  <si>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</si>
  <si>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</si>
  <si>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</si>
  <si>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</si>
  <si>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</si>
  <si>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</si>
  <si>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</si>
  <si>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</si>
  <si>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</si>
  <si>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</si>
  <si>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</si>
  <si>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</si>
  <si>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</si>
  <si>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</si>
  <si>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</si>
  <si>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</si>
  <si>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</si>
  <si>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</si>
  <si>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</si>
  <si>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</si>
  <si>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</si>
  <si>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</si>
  <si>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</si>
  <si>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</si>
  <si>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</si>
  <si>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</si>
  <si>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</si>
  <si>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</si>
  <si>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</si>
  <si>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</si>
  <si>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</si>
  <si>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</si>
  <si>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</si>
  <si>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</si>
  <si>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</si>
  <si>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</si>
  <si>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</si>
  <si>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</si>
  <si>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</si>
  <si>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</si>
  <si>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</si>
  <si>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</si>
  <si>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</si>
  <si>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</si>
  <si>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</si>
  <si>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</si>
  <si>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</si>
  <si>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</si>
  <si>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</si>
  <si>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</si>
  <si>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</si>
  <si>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</si>
  <si>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</si>
  <si>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</si>
  <si>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</si>
  <si>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</si>
  <si>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</si>
  <si>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</si>
  <si>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</si>
  <si>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</si>
  <si>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</si>
  <si>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</si>
  <si>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</si>
  <si>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</si>
  <si>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</si>
  <si>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</si>
  <si>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</si>
  <si>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</si>
  <si>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</si>
  <si>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</si>
  <si>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</si>
  <si>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</si>
  <si>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</si>
  <si>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</si>
  <si>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</si>
  <si>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</si>
  <si>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</si>
  <si>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</si>
  <si>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</si>
  <si>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</si>
  <si>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</si>
  <si>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</si>
  <si>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</si>
  <si>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</si>
  <si>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</si>
  <si>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</si>
  <si>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</si>
  <si>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</si>
  <si>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</si>
  <si>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</si>
  <si>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</si>
  <si>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</si>
  <si>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</si>
  <si>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</si>
  <si>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</si>
  <si>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</si>
  <si>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</si>
  <si>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</si>
  <si>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</si>
  <si>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</si>
  <si>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</si>
  <si>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</si>
  <si>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</si>
  <si>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</si>
  <si>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</si>
  <si>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</si>
  <si>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</si>
  <si>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</si>
  <si>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</si>
  <si>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</si>
  <si>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</si>
  <si>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</si>
  <si>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</si>
  <si>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</si>
  <si>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</si>
  <si>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</si>
  <si>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</si>
  <si>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</si>
  <si>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</si>
  <si>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</si>
  <si>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</si>
  <si>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</si>
  <si>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</si>
  <si>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</si>
  <si>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</si>
  <si>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</si>
  <si>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</si>
  <si>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</si>
  <si>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</si>
  <si>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</si>
  <si>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</si>
  <si>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</si>
  <si>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</si>
  <si>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</si>
  <si>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</si>
  <si>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</si>
  <si>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</si>
  <si>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</si>
  <si>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</si>
  <si>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</si>
  <si>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</si>
  <si>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</si>
  <si>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</si>
  <si>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</si>
  <si>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</si>
  <si>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</si>
  <si>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</si>
  <si>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</si>
  <si>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</si>
  <si>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</si>
  <si>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</si>
  <si>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</si>
  <si>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</si>
  <si>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</si>
  <si>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</si>
  <si>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</si>
  <si>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</si>
  <si>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</si>
  <si>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</si>
  <si>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</si>
  <si>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</si>
  <si>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</si>
  <si>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</si>
  <si>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</si>
  <si>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</si>
  <si>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</si>
  <si>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</si>
  <si>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</si>
  <si>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</si>
  <si>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</si>
  <si>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</si>
  <si>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</si>
  <si>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</si>
  <si>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</si>
  <si>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</si>
  <si>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</si>
  <si>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</si>
  <si>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</si>
  <si>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</si>
  <si>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</si>
  <si>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</si>
  <si>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</si>
  <si>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</si>
  <si>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</si>
  <si>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</si>
  <si>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</si>
  <si>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</si>
  <si>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</si>
  <si>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</si>
  <si>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</si>
  <si>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</si>
  <si>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</si>
  <si>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</si>
  <si>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</si>
  <si>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</si>
  <si>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</si>
  <si>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</si>
  <si>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</si>
  <si>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</si>
  <si>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</si>
  <si>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</si>
  <si>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</si>
  <si>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</si>
  <si>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</si>
  <si>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</si>
  <si>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</si>
  <si>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</si>
  <si>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</si>
  <si>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</si>
  <si>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</si>
  <si>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</si>
  <si>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</si>
  <si>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</si>
  <si>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</si>
  <si>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</si>
  <si>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</si>
  <si>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</si>
  <si>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</si>
  <si>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</si>
  <si>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</si>
  <si>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</si>
  <si>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</si>
  <si>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</si>
  <si>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</si>
  <si>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</si>
  <si>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</si>
  <si>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</si>
  <si>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</si>
  <si>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</si>
  <si>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</si>
  <si>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</si>
  <si>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</si>
  <si>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</si>
  <si>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</si>
  <si>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</si>
  <si>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</si>
  <si>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</si>
  <si>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</si>
  <si>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</si>
  <si>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</si>
  <si>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</si>
  <si>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</si>
  <si>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</si>
  <si>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</si>
  <si>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</si>
  <si>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</si>
  <si>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</si>
  <si>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</si>
  <si>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</si>
  <si>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</si>
  <si>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</si>
  <si>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</si>
  <si>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</si>
  <si>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</si>
  <si>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</si>
  <si>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</si>
  <si>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</si>
  <si>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</si>
  <si>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</si>
  <si>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</si>
  <si>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</si>
  <si>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</si>
  <si>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</si>
  <si>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</si>
  <si>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</si>
  <si>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</si>
  <si>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</si>
  <si>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</si>
  <si>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</si>
  <si>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</si>
  <si>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</si>
  <si>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</si>
  <si>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</si>
  <si>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</si>
  <si>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</si>
  <si>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</si>
  <si>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</si>
  <si>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</si>
  <si>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</si>
  <si>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</si>
  <si>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</si>
  <si>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</si>
  <si>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</si>
  <si>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</si>
  <si>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</si>
  <si>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</si>
  <si>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</si>
  <si>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</si>
  <si>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</si>
  <si>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</si>
  <si>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</si>
  <si>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</si>
  <si>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</si>
  <si>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</si>
  <si>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</si>
  <si>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</si>
  <si>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</si>
  <si>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</si>
  <si>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</si>
  <si>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</si>
  <si>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</si>
  <si>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</si>
  <si>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</si>
  <si>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</si>
  <si>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</si>
  <si>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</si>
  <si>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</si>
  <si>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</si>
  <si>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</si>
  <si>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</si>
  <si>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</si>
  <si>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</si>
  <si>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</si>
  <si>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</si>
  <si>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</si>
  <si>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</si>
  <si>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</si>
  <si>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</si>
  <si>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</si>
  <si>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</si>
  <si>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</si>
  <si>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</si>
  <si>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</si>
  <si>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</si>
  <si>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</si>
  <si>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</si>
  <si>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</si>
  <si>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</si>
  <si>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</si>
  <si>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</si>
  <si>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</si>
  <si>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</si>
  <si>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</si>
  <si>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</si>
  <si>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</si>
  <si>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</si>
  <si>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</si>
  <si>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</si>
  <si>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</si>
  <si>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</si>
  <si>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</si>
  <si>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</si>
  <si>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</si>
  <si>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</si>
  <si>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</si>
  <si>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</si>
  <si>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</si>
  <si>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</si>
  <si>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</si>
  <si>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</si>
  <si>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</si>
  <si>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</si>
  <si>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</si>
  <si>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</si>
  <si>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</si>
  <si>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</si>
  <si>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</si>
  <si>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</si>
  <si>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</si>
  <si>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</si>
  <si>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</si>
  <si>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</si>
  <si>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</si>
  <si>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</si>
  <si>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</si>
  <si>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</si>
  <si>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</si>
  <si>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</si>
  <si>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</si>
  <si>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</si>
  <si>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</si>
  <si>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</si>
  <si>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</si>
  <si>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</si>
  <si>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</si>
  <si>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</si>
  <si>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</si>
  <si>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</si>
  <si>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</si>
  <si>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</si>
  <si>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</si>
  <si>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</si>
  <si>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</si>
  <si>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</si>
  <si>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</si>
  <si>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</si>
  <si>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</si>
  <si>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</si>
  <si>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</si>
  <si>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</si>
  <si>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</si>
  <si>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</si>
  <si>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</si>
  <si>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</si>
  <si>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</si>
  <si>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</si>
  <si>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</si>
  <si>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</si>
  <si>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</si>
  <si>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</si>
  <si>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</si>
  <si>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</si>
  <si>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</si>
  <si>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</si>
  <si>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</si>
  <si>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</si>
  <si>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</si>
  <si>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</si>
  <si>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</si>
  <si>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</si>
  <si>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</si>
  <si>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</si>
  <si>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</si>
  <si>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</si>
  <si>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</si>
  <si>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</si>
  <si>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</si>
  <si>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</si>
  <si>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</si>
  <si>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</si>
  <si>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</si>
  <si>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</si>
  <si>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</si>
  <si>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</si>
  <si>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</si>
  <si>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</si>
  <si>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</si>
  <si>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</si>
  <si>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</si>
  <si>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</si>
  <si>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</si>
  <si>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</si>
  <si>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</si>
  <si>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</si>
  <si>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</si>
  <si>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</si>
  <si>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</si>
  <si>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</si>
  <si>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</si>
  <si>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</si>
  <si>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</si>
  <si>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</si>
  <si>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</si>
  <si>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</si>
  <si>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</si>
  <si>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</si>
  <si>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</si>
  <si>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</si>
  <si>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</si>
  <si>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</si>
  <si>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</si>
  <si>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</si>
  <si>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</si>
  <si>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</si>
  <si>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</si>
  <si>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</si>
  <si>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</si>
  <si>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</si>
  <si>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</si>
  <si>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</si>
  <si>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</si>
  <si>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</si>
  <si>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</si>
  <si>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</si>
  <si>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</si>
  <si>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</si>
  <si>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</si>
  <si>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</si>
  <si>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</si>
  <si>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</si>
  <si>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</si>
  <si>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</si>
  <si>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</si>
  <si>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</si>
  <si>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</si>
  <si>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</si>
  <si>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</si>
  <si>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</si>
  <si>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</si>
  <si>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</si>
  <si>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</si>
  <si>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</si>
  <si>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</si>
  <si>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</si>
  <si>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</si>
  <si>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</si>
  <si>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</si>
  <si>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</si>
  <si>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</si>
  <si>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</si>
  <si>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</si>
  <si>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</si>
  <si>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</si>
  <si>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</si>
  <si>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</si>
  <si>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</si>
  <si>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</si>
  <si>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</si>
  <si>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</si>
  <si>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</si>
  <si>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</si>
  <si>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</si>
  <si>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</si>
  <si>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</si>
  <si>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</si>
  <si>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</si>
  <si>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</si>
  <si>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</si>
  <si>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</si>
  <si>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</si>
  <si>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</si>
  <si>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</si>
  <si>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</si>
  <si>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</si>
  <si>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</si>
  <si>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</si>
  <si>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</si>
  <si>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</si>
  <si>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</si>
  <si>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</si>
  <si>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</si>
  <si>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</si>
  <si>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</si>
  <si>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</si>
  <si>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</si>
  <si>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</si>
  <si>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</si>
  <si>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</si>
  <si>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</si>
  <si>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</si>
  <si>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</si>
  <si>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</si>
  <si>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</si>
  <si>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</si>
  <si>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</si>
  <si>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</si>
  <si>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</si>
  <si>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</si>
  <si>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</si>
  <si>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</si>
  <si>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</si>
  <si>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</si>
  <si>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</si>
  <si>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</si>
  <si>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</si>
  <si>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</si>
  <si>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</si>
  <si>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</si>
  <si>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</si>
  <si>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</si>
  <si>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</si>
  <si>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</si>
  <si>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</si>
  <si>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</si>
  <si>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</si>
  <si>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</si>
  <si>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</si>
  <si>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</si>
  <si>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</si>
  <si>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</si>
  <si>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</si>
  <si>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</si>
  <si>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</si>
  <si>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</si>
  <si>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</si>
  <si>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</si>
  <si>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</si>
  <si>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</si>
  <si>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</si>
  <si>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</si>
  <si>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</si>
  <si>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</si>
  <si>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</si>
  <si>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</si>
  <si>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</si>
  <si>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</si>
  <si>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</si>
  <si>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</si>
  <si>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</si>
  <si>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</si>
  <si>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</si>
  <si>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</si>
  <si>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</si>
  <si>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</si>
  <si>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</si>
  <si>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</si>
  <si>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</si>
  <si>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</si>
  <si>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</si>
  <si>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</si>
  <si>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</si>
  <si>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</si>
  <si>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</si>
  <si>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</si>
  <si>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</si>
  <si>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</si>
  <si>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</si>
  <si>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</si>
  <si>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</si>
  <si>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</si>
  <si>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</si>
  <si>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</si>
  <si>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</si>
  <si>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</si>
  <si>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</si>
  <si>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</si>
  <si>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</si>
  <si>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</si>
  <si>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</si>
  <si>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</si>
  <si>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</si>
  <si>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</si>
  <si>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</si>
  <si>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</si>
  <si>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</si>
  <si>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</si>
  <si>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</si>
  <si>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</si>
  <si>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</si>
  <si>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</si>
  <si>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</si>
  <si>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</si>
  <si>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</si>
  <si>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</si>
  <si>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</si>
  <si>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</si>
  <si>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</si>
  <si>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</si>
  <si>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</si>
  <si>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</si>
  <si>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</si>
  <si>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</si>
  <si>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</si>
  <si>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</si>
  <si>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</si>
  <si>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</si>
  <si>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</si>
  <si>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</si>
  <si>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</si>
  <si>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</si>
  <si>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</si>
  <si>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</si>
  <si>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</si>
  <si>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</si>
  <si>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</si>
  <si>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</si>
  <si>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</si>
  <si>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</si>
  <si>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</si>
  <si>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</si>
  <si>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</si>
  <si>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</si>
  <si>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</si>
  <si>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</si>
  <si>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</si>
  <si>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</si>
  <si>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</si>
  <si>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</si>
  <si>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</si>
  <si>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</si>
  <si>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</si>
  <si>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</si>
  <si>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</si>
  <si>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</si>
  <si>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</si>
  <si>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</si>
  <si>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</si>
  <si>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</si>
  <si>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</si>
  <si>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</si>
  <si>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</si>
  <si>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</si>
  <si>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</si>
  <si>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</si>
  <si>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</si>
  <si>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</si>
  <si>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</si>
  <si>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</si>
  <si>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</si>
  <si>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</si>
  <si>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</si>
  <si>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</si>
  <si>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</si>
  <si>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</si>
  <si>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</si>
  <si>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</si>
  <si>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</si>
  <si>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</si>
  <si>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</si>
  <si>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</si>
  <si>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</si>
  <si>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</si>
  <si>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</si>
  <si>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</si>
  <si>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</si>
  <si>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</si>
  <si>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</si>
  <si>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</si>
  <si>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</si>
  <si>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</si>
  <si>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</si>
  <si>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</si>
  <si>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</si>
  <si>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</si>
  <si>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</si>
  <si>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</si>
  <si>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</si>
  <si>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</si>
  <si>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</si>
  <si>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</si>
  <si>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</si>
  <si>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</si>
  <si>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</si>
  <si>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</si>
  <si>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</si>
  <si>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</si>
  <si>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</si>
  <si>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</si>
  <si>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</si>
  <si>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</si>
  <si>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</si>
  <si>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</si>
  <si>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</si>
  <si>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</si>
  <si>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</si>
  <si>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</si>
  <si>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</si>
  <si>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</si>
  <si>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</si>
  <si>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</si>
  <si>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</si>
  <si>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</si>
  <si>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</si>
  <si>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</si>
  <si>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</si>
  <si>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</si>
  <si>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</si>
  <si>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</si>
  <si>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</si>
  <si>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</si>
  <si>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</si>
  <si>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</si>
  <si>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</si>
  <si>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</si>
  <si>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</si>
  <si>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</si>
  <si>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</si>
  <si>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</si>
  <si>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</si>
  <si>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</si>
  <si>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</si>
  <si>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</si>
  <si>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</si>
  <si>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</si>
  <si>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</si>
  <si>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</si>
  <si>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</si>
  <si>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</si>
  <si>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</si>
  <si>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</si>
  <si>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</si>
  <si>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</si>
  <si>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</si>
  <si>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</si>
  <si>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</si>
  <si>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</si>
  <si>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</si>
  <si>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</si>
  <si>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</si>
  <si>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</si>
  <si>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</si>
  <si>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</si>
  <si>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</si>
  <si>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</si>
  <si>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</si>
  <si>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</si>
  <si>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</si>
  <si>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</si>
  <si>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</si>
  <si>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</si>
  <si>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</si>
  <si>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</si>
  <si>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</si>
  <si>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</si>
  <si>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</si>
  <si>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</si>
  <si>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</si>
  <si>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</si>
  <si>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</si>
  <si>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</si>
  <si>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</si>
  <si>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</si>
  <si>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</si>
  <si>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</si>
  <si>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</si>
  <si>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</si>
  <si>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</si>
  <si>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</si>
  <si>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</si>
  <si>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</si>
  <si>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</si>
  <si>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</si>
  <si>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</si>
  <si>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</si>
  <si>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</si>
  <si>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</si>
  <si>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</si>
  <si>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</si>
  <si>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</si>
  <si>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</si>
  <si>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</si>
  <si>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</si>
  <si>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</si>
  <si>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</si>
  <si>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</si>
  <si>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</si>
  <si>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</si>
  <si>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</si>
  <si>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</si>
  <si>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</si>
  <si>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</si>
  <si>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</si>
  <si>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</si>
  <si>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</si>
  <si>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</si>
  <si>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</si>
  <si>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</si>
  <si>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</si>
  <si>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</si>
  <si>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</si>
  <si>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</si>
  <si>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</si>
  <si>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</si>
  <si>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</si>
  <si>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</si>
  <si>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</si>
  <si>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</si>
  <si>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</si>
  <si>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</si>
  <si>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</si>
  <si>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</si>
  <si>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</si>
  <si>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</si>
  <si>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</si>
  <si>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</si>
  <si>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</si>
  <si>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</si>
  <si>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</si>
  <si>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</si>
  <si>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</si>
  <si>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</si>
  <si>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</si>
  <si>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</si>
  <si>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</si>
  <si>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</si>
  <si>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</si>
  <si>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</si>
  <si>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</si>
  <si>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</si>
  <si>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</si>
  <si>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</si>
  <si>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</si>
  <si>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</si>
  <si>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</si>
  <si>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</si>
  <si>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</si>
  <si>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</si>
  <si>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</si>
  <si>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</si>
  <si>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</si>
  <si>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</si>
  <si>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</si>
  <si>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</si>
  <si>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</si>
  <si>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</si>
  <si>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</si>
  <si>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</si>
  <si>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</si>
  <si>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</si>
  <si>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</si>
  <si>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</si>
  <si>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</si>
  <si>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</si>
  <si>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</si>
  <si>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</si>
  <si>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</si>
  <si>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</si>
  <si>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</si>
  <si>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</si>
  <si>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</si>
  <si>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</si>
  <si>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</si>
  <si>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</si>
  <si>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</si>
  <si>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</si>
  <si>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</si>
  <si>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</si>
  <si>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</si>
  <si>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</si>
  <si>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</si>
  <si>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</si>
  <si>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</si>
  <si>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</si>
  <si>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</si>
  <si>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</si>
  <si>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</si>
  <si>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</si>
  <si>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</si>
  <si>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</si>
  <si>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</si>
  <si>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</si>
  <si>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</si>
  <si>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</si>
  <si>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</si>
  <si>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</si>
  <si>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</si>
  <si>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</si>
  <si>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</si>
  <si>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</si>
  <si>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</si>
  <si>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</si>
  <si>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</si>
  <si>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</si>
  <si>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</si>
  <si>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</si>
  <si>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</si>
  <si>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</si>
  <si>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</si>
  <si>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</si>
  <si>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</si>
  <si>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</si>
  <si>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</si>
  <si>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</si>
  <si>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</si>
  <si>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</si>
  <si>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</si>
  <si>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</si>
  <si>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</si>
  <si>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</si>
  <si>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</si>
  <si>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</si>
  <si>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</si>
  <si>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</si>
  <si>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</si>
  <si>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</si>
  <si>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</si>
  <si>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</si>
  <si>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</si>
  <si>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</si>
  <si>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</si>
  <si>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</si>
  <si>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</si>
  <si>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</si>
  <si>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</si>
  <si>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</si>
  <si>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</si>
  <si>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</si>
  <si>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</si>
  <si>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</si>
  <si>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</si>
  <si>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</si>
  <si>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</si>
  <si>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</si>
  <si>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</si>
  <si>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</si>
  <si>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</si>
  <si>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</si>
  <si>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</si>
  <si>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</si>
  <si>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</si>
  <si>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</si>
  <si>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</si>
  <si>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</si>
  <si>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</si>
  <si>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</si>
  <si>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</si>
  <si>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</si>
  <si>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</si>
  <si>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</si>
  <si>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</si>
  <si>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</si>
  <si>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</si>
  <si>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</si>
  <si>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</si>
  <si>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</si>
  <si>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</si>
  <si>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</si>
  <si>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</si>
  <si>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</si>
  <si>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</si>
  <si>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</si>
  <si>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</si>
  <si>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</si>
  <si>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</si>
  <si>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</si>
  <si>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</si>
  <si>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</si>
  <si>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</si>
  <si>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</si>
  <si>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</si>
  <si>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</si>
  <si>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</si>
  <si>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</si>
  <si>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</si>
  <si>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</si>
  <si>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</si>
  <si>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</si>
  <si>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</si>
  <si>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</si>
  <si>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</si>
  <si>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</si>
  <si>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</si>
  <si>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</si>
  <si>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</si>
  <si>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</si>
  <si>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</si>
  <si>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</si>
  <si>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</si>
  <si>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</si>
  <si>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</si>
  <si>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</si>
  <si>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</si>
  <si>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</si>
  <si>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</si>
  <si>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</si>
  <si>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</si>
  <si>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</si>
  <si>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</si>
  <si>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</si>
  <si>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</si>
  <si>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</si>
  <si>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</si>
  <si>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</si>
  <si>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</si>
  <si>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</si>
  <si>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</si>
  <si>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</si>
  <si>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</si>
  <si>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</si>
  <si>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</si>
  <si>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</si>
  <si>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</si>
  <si>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</si>
  <si>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</si>
  <si>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</si>
  <si>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</si>
  <si>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</si>
  <si>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</si>
  <si>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</si>
  <si>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</si>
  <si>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</si>
  <si>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</si>
  <si>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</si>
  <si>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</si>
  <si>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</si>
  <si>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</si>
  <si>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</si>
  <si>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</si>
  <si>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</si>
  <si>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</si>
  <si>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</si>
  <si>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</si>
  <si>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</si>
  <si>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</si>
  <si>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</si>
  <si>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</si>
  <si>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</si>
  <si>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</si>
  <si>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</si>
  <si>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</si>
  <si>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</si>
  <si>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</si>
  <si>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</si>
  <si>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</si>
  <si>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</si>
  <si>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</si>
  <si>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</si>
  <si>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</si>
  <si>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</si>
  <si>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</si>
  <si>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</si>
  <si>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</si>
  <si>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</si>
  <si>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</si>
  <si>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</si>
  <si>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</si>
  <si>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</si>
  <si>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</si>
  <si>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</si>
  <si>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</si>
  <si>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</si>
  <si>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</si>
  <si>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</si>
  <si>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</si>
  <si>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</si>
  <si>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</si>
  <si>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</si>
  <si>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</si>
  <si>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</si>
  <si>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</si>
  <si>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</si>
  <si>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</si>
  <si>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</si>
  <si>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</si>
  <si>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</si>
  <si>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</si>
  <si>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</si>
  <si>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</si>
  <si>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</si>
  <si>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</si>
  <si>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</si>
  <si>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</si>
  <si>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</si>
  <si>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</si>
  <si>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</si>
  <si>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</si>
  <si>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</si>
  <si>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</si>
  <si>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</si>
  <si>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</si>
  <si>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</si>
  <si>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</si>
  <si>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</si>
  <si>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</si>
  <si>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</si>
  <si>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</si>
  <si>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</si>
  <si>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</si>
  <si>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</si>
  <si>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</si>
  <si>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</si>
  <si>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</si>
  <si>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</si>
  <si>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</si>
  <si>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</si>
  <si>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</si>
  <si>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</si>
  <si>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</si>
  <si>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</si>
  <si>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</si>
  <si>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</si>
  <si>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</si>
  <si>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</si>
  <si>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</si>
  <si>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</si>
  <si>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</si>
  <si>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</si>
  <si>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</si>
  <si>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</si>
  <si>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</si>
  <si>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</si>
  <si>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</si>
  <si>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</si>
  <si>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</si>
  <si>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</si>
  <si>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</si>
  <si>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</si>
  <si>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</si>
  <si>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</si>
  <si>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</si>
  <si>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</si>
  <si>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</si>
  <si>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</si>
  <si>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</si>
  <si>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</si>
  <si>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</si>
  <si>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</si>
  <si>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</si>
  <si>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</si>
  <si>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</si>
  <si>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</si>
  <si>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</si>
  <si>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</si>
  <si>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</si>
  <si>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</si>
  <si>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</si>
  <si>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</si>
  <si>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</si>
  <si>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</si>
  <si>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</si>
  <si>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</si>
  <si>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</si>
  <si>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</si>
  <si>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</si>
  <si>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</si>
  <si>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</si>
  <si>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</si>
  <si>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</si>
  <si>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</si>
  <si>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</si>
  <si>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</si>
  <si>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</si>
  <si>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</si>
  <si>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</si>
  <si>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</si>
  <si>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</si>
  <si>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</si>
  <si>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</si>
  <si>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</si>
  <si>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</si>
  <si>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</si>
  <si>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</si>
  <si>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</si>
  <si>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</si>
  <si>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</si>
  <si>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</si>
  <si>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</si>
  <si>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</si>
  <si>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</si>
  <si>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</si>
  <si>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</si>
  <si>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</si>
  <si>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</si>
  <si>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</si>
  <si>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</si>
  <si>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</si>
  <si>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</si>
  <si>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</si>
  <si>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</si>
  <si>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</si>
  <si>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</si>
  <si>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</si>
  <si>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</si>
  <si>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</si>
  <si>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</si>
  <si>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</si>
  <si>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</si>
  <si>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</si>
  <si>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</si>
  <si>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</si>
  <si>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</si>
  <si>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</si>
  <si>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</si>
  <si>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</si>
  <si>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</si>
  <si>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</si>
  <si>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</si>
  <si>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</si>
  <si>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</si>
  <si>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</si>
  <si>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</si>
  <si>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</si>
  <si>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</si>
  <si>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</si>
  <si>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</si>
  <si>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</si>
  <si>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</si>
  <si>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</si>
  <si>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</si>
  <si>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</si>
  <si>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</si>
  <si>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</si>
  <si>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</si>
  <si>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</si>
  <si>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</si>
  <si>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</si>
  <si>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</si>
  <si>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</si>
  <si>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</si>
  <si>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</si>
  <si>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</si>
  <si>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</si>
  <si>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</si>
  <si>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</si>
  <si>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</si>
  <si>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</si>
  <si>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</si>
  <si>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</si>
  <si>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</si>
  <si>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</si>
  <si>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</si>
  <si>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</si>
  <si>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</si>
  <si>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</si>
  <si>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</si>
  <si>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</si>
  <si>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</si>
  <si>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</si>
  <si>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</si>
  <si>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</si>
  <si>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</si>
  <si>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</si>
  <si>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</si>
  <si>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</si>
  <si>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</si>
  <si>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</si>
  <si>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</si>
  <si>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</si>
  <si>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</si>
  <si>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</si>
  <si>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</si>
  <si>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</si>
  <si>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</si>
  <si>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</si>
  <si>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</si>
  <si>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</si>
  <si>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</si>
  <si>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</si>
  <si>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</si>
  <si>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</si>
  <si>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</si>
  <si>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</si>
  <si>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</si>
  <si>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</si>
  <si>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</si>
  <si>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</si>
  <si>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</si>
  <si>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</si>
  <si>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</si>
  <si>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</si>
  <si>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</si>
  <si>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</si>
  <si>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</si>
  <si>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</si>
  <si>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</si>
  <si>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</si>
  <si>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</si>
  <si>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</si>
  <si>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</si>
  <si>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</si>
  <si>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</si>
  <si>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</si>
  <si>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</si>
  <si>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</si>
  <si>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</si>
  <si>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</si>
  <si>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</si>
  <si>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</si>
  <si>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</si>
  <si>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</si>
  <si>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</si>
  <si>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</si>
  <si>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</si>
  <si>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</si>
  <si>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</si>
  <si>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</si>
  <si>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</si>
  <si>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</si>
  <si>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</si>
  <si>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</si>
  <si>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</si>
  <si>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</si>
  <si>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</si>
  <si>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</si>
  <si>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</si>
  <si>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</si>
  <si>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</si>
  <si>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</si>
  <si>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</si>
  <si>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</si>
  <si>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</si>
  <si>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</si>
  <si>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</si>
  <si>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</si>
  <si>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</si>
  <si>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</si>
  <si>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</si>
  <si>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</si>
  <si>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</si>
  <si>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</si>
  <si>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</si>
  <si>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</si>
  <si>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</si>
  <si>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</si>
  <si>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</si>
  <si>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</si>
  <si>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</si>
  <si>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</si>
  <si>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</si>
  <si>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</si>
  <si>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</si>
  <si>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</si>
  <si>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</si>
  <si>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</si>
  <si>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</si>
  <si>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</si>
  <si>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</si>
  <si>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</si>
  <si>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</si>
  <si>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</si>
  <si>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</si>
  <si>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</si>
  <si>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</si>
  <si>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</si>
  <si>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</si>
  <si>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</si>
  <si>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</si>
  <si>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</si>
  <si>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</si>
  <si>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</si>
  <si>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</si>
  <si>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</si>
  <si>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</si>
  <si>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</si>
  <si>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</si>
  <si>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</si>
  <si>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</si>
  <si>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</si>
  <si>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</si>
  <si>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</si>
  <si>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</si>
  <si>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</si>
  <si>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</si>
  <si>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</si>
  <si>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</si>
  <si>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</si>
  <si>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</si>
  <si>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</si>
  <si>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</si>
  <si>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</si>
  <si>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</si>
  <si>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</si>
  <si>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</si>
  <si>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</si>
  <si>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</si>
  <si>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</si>
  <si>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</si>
  <si>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</si>
  <si>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</si>
  <si>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</si>
  <si>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</si>
  <si>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</si>
  <si>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</si>
  <si>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</si>
  <si>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</si>
  <si>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</si>
  <si>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</si>
  <si>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</si>
  <si>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</si>
  <si>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</si>
  <si>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</si>
  <si>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</si>
  <si>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</si>
  <si>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</si>
  <si>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</si>
  <si>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</si>
  <si>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</si>
  <si>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</si>
  <si>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</si>
  <si>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</si>
  <si>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</si>
  <si>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</si>
  <si>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</si>
  <si>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</si>
  <si>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</si>
  <si>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</si>
  <si>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</si>
  <si>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</si>
  <si>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</si>
  <si>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</si>
  <si>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</si>
  <si>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</si>
  <si>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</si>
  <si>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</si>
  <si>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</si>
  <si>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</si>
  <si>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</si>
  <si>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</si>
  <si>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</si>
  <si>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</si>
  <si>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</si>
  <si>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</si>
  <si>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</si>
  <si>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</si>
  <si>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</si>
  <si>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</si>
  <si>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</si>
  <si>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</si>
  <si>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</si>
  <si>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</si>
  <si>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</si>
  <si>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</si>
  <si>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</si>
  <si>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</si>
  <si>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</si>
  <si>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</si>
  <si>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</si>
  <si>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</si>
  <si>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</si>
  <si>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</si>
  <si>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</si>
  <si>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</si>
  <si>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</si>
  <si>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</si>
  <si>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</si>
  <si>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</si>
  <si>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</si>
  <si>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</si>
  <si>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</si>
  <si>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</si>
  <si>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</si>
  <si>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</si>
  <si>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</si>
  <si>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</si>
  <si>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</si>
  <si>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</si>
  <si>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</si>
  <si>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</si>
  <si>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</si>
  <si>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</si>
  <si>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</si>
  <si>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</si>
  <si>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</si>
  <si>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</si>
  <si>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</si>
  <si>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</si>
  <si>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</si>
  <si>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</si>
  <si>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</si>
  <si>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</si>
  <si>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</si>
  <si>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</si>
  <si>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</si>
  <si>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</si>
  <si>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</si>
  <si>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</si>
  <si>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</si>
  <si>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</si>
  <si>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</si>
  <si>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</si>
  <si>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</si>
  <si>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</si>
  <si>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</si>
  <si>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</si>
  <si>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</si>
  <si>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</si>
  <si>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</si>
  <si>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</si>
  <si>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</si>
  <si>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</si>
  <si>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</si>
  <si>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</si>
  <si>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</si>
  <si>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</si>
  <si>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</si>
  <si>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</si>
  <si>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</si>
  <si>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</si>
  <si>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</si>
  <si>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</si>
  <si>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</si>
  <si>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</si>
  <si>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</si>
  <si>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</si>
  <si>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</si>
  <si>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</si>
  <si>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</si>
  <si>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</si>
  <si>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</si>
  <si>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</si>
  <si>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</si>
  <si>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</si>
  <si>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</si>
  <si>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</si>
  <si>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</si>
  <si>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</si>
  <si>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</si>
  <si>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</si>
  <si>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</si>
  <si>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</si>
  <si>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</si>
  <si>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</si>
  <si>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</si>
  <si>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</si>
  <si>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</si>
  <si>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</si>
  <si>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</si>
  <si>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</si>
  <si>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</si>
  <si>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</si>
  <si>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</si>
  <si>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</si>
  <si>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</si>
  <si>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</si>
  <si>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</si>
  <si>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</si>
  <si>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</si>
  <si>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</si>
  <si>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</si>
  <si>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</si>
  <si>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</si>
  <si>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</si>
  <si>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</si>
  <si>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</si>
  <si>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</si>
  <si>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</si>
  <si>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</si>
  <si>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</si>
  <si>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</si>
  <si>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</si>
  <si>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</si>
  <si>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</si>
  <si>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</si>
  <si>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</si>
  <si>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</si>
  <si>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</si>
  <si>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</si>
  <si>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</si>
  <si>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</si>
  <si>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</si>
  <si>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</si>
  <si>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</si>
  <si>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</si>
  <si>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</si>
  <si>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</si>
  <si>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</si>
  <si>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</si>
  <si>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</si>
  <si>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</si>
  <si>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</si>
  <si>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</si>
  <si>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</si>
  <si>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</si>
  <si>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</si>
  <si>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</si>
  <si>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</si>
  <si>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</si>
  <si>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</si>
  <si>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</si>
  <si>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</si>
  <si>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</si>
  <si>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</si>
  <si>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</si>
  <si>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</si>
  <si>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</si>
  <si>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</si>
  <si>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</si>
  <si>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</si>
  <si>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</si>
  <si>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</si>
  <si>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</si>
  <si>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</si>
  <si>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</si>
  <si>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</si>
  <si>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</si>
  <si>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</si>
  <si>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</si>
  <si>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</si>
  <si>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</si>
  <si>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</si>
  <si>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</si>
  <si>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</si>
  <si>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</si>
  <si>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</si>
  <si>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</si>
  <si>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</si>
  <si>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</si>
  <si>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</si>
  <si>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</si>
  <si>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</si>
  <si>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</si>
  <si>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</si>
  <si>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</si>
  <si>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</si>
  <si>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</si>
  <si>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</si>
  <si>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</si>
  <si>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</si>
  <si>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</si>
  <si>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</si>
  <si>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</si>
  <si>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</si>
  <si>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</si>
  <si>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</si>
  <si>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</si>
  <si>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</si>
  <si>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</si>
  <si>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</si>
  <si>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</si>
  <si>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</si>
  <si>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</si>
  <si>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</si>
  <si>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</si>
  <si>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</si>
  <si>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</si>
  <si>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</si>
  <si>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</si>
  <si>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</si>
  <si>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</si>
  <si>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</si>
  <si>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</si>
  <si>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</si>
  <si>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</si>
  <si>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</si>
  <si>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</si>
  <si>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</si>
  <si>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</si>
  <si>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</si>
  <si>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</si>
  <si>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</si>
  <si>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</si>
  <si>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</si>
  <si>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</si>
  <si>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</si>
  <si>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</si>
  <si>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</si>
  <si>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</si>
  <si>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</si>
  <si>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</si>
  <si>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</si>
  <si>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</si>
  <si>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</si>
  <si>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</si>
  <si>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</si>
  <si>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</si>
  <si>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</si>
  <si>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</si>
  <si>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</si>
  <si>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</si>
  <si>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</si>
  <si>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</si>
  <si>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</si>
  <si>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</si>
  <si>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</si>
  <si>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</si>
  <si>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</si>
  <si>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</si>
  <si>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</si>
  <si>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</si>
  <si>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</si>
  <si>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</si>
  <si>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</si>
  <si>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</si>
  <si>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</si>
  <si>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</si>
  <si>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</si>
  <si>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</si>
  <si>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</si>
  <si>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</si>
  <si>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</si>
  <si>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</si>
  <si>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</si>
  <si>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</si>
  <si>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</si>
  <si>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</si>
  <si>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</si>
  <si>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</si>
  <si>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</si>
  <si>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</si>
  <si>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</si>
  <si>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</si>
  <si>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</si>
  <si>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</si>
  <si>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</si>
  <si>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</si>
  <si>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</si>
  <si>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</si>
  <si>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</si>
  <si>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</si>
  <si>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</si>
  <si>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</si>
  <si>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</si>
  <si>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</si>
  <si>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</si>
  <si>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</si>
  <si>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</si>
  <si>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</si>
  <si>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</si>
  <si>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</si>
  <si>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</si>
  <si>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</si>
  <si>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</si>
  <si>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</si>
  <si>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</si>
  <si>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</si>
  <si>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</si>
  <si>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</si>
  <si>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</si>
  <si>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</si>
  <si>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</si>
  <si>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</si>
  <si>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</si>
  <si>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</si>
  <si>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</si>
  <si>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</si>
  <si>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</si>
  <si>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</si>
  <si>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</si>
  <si>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</si>
  <si>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</si>
  <si>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</si>
  <si>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</si>
  <si>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</si>
  <si>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</si>
  <si>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</si>
  <si>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</si>
  <si>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</si>
  <si>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</si>
  <si>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</si>
  <si>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</si>
  <si>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</si>
  <si>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</si>
  <si>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</si>
  <si>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</si>
  <si>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</si>
  <si>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</si>
  <si>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</si>
  <si>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</si>
  <si>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</si>
  <si>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</si>
  <si>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</si>
  <si>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</si>
  <si>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</si>
  <si>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</si>
  <si>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</si>
  <si>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</si>
  <si>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</si>
  <si>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</si>
  <si>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</si>
  <si>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</si>
  <si>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</si>
  <si>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</si>
  <si>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</si>
  <si>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</si>
  <si>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</si>
  <si>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</si>
  <si>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</si>
  <si>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</si>
  <si>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</si>
  <si>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</si>
  <si>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</si>
  <si>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</si>
  <si>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</si>
  <si>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</si>
  <si>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</si>
  <si>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</si>
  <si>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</si>
  <si>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</si>
  <si>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</si>
  <si>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</si>
  <si>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</si>
  <si>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</si>
  <si>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</si>
  <si>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</si>
  <si>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</si>
  <si>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</si>
  <si>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</si>
  <si>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</si>
  <si>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</si>
  <si>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</si>
  <si>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</si>
  <si>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</si>
  <si>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</si>
  <si>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</si>
  <si>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</si>
  <si>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</si>
  <si>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</si>
  <si>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</si>
  <si>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</si>
  <si>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</si>
  <si>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</si>
  <si>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</si>
  <si>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</si>
  <si>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</si>
  <si>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</si>
  <si>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</si>
  <si>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</si>
  <si>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</si>
  <si>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</si>
  <si>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</si>
  <si>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</si>
  <si>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</si>
  <si>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</si>
  <si>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</si>
  <si>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</si>
  <si>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</si>
  <si>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</si>
  <si>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</si>
  <si>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</si>
  <si>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</si>
  <si>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</si>
  <si>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</si>
  <si>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</si>
  <si>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</si>
  <si>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</si>
  <si>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</si>
  <si>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</si>
  <si>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</si>
  <si>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</si>
  <si>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</si>
  <si>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</si>
  <si>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</si>
  <si>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</si>
  <si>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</si>
  <si>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</si>
  <si>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</si>
  <si>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</si>
  <si>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</si>
  <si>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</si>
  <si>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</si>
  <si>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</si>
  <si>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</si>
  <si>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</si>
  <si>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</si>
  <si>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</si>
  <si>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</si>
  <si>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</si>
  <si>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</si>
  <si>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</si>
  <si>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</si>
  <si>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</si>
  <si>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</si>
  <si>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</si>
  <si>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</si>
  <si>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</si>
  <si>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</si>
  <si>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</si>
  <si>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</si>
  <si>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</si>
  <si>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</si>
  <si>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</si>
  <si>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</si>
  <si>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</si>
  <si>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</si>
  <si>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</si>
  <si>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</si>
  <si>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</si>
  <si>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</si>
  <si>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</si>
  <si>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</si>
  <si>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</si>
  <si>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</si>
  <si>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</si>
  <si>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</si>
  <si>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</si>
  <si>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</si>
  <si>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</si>
  <si>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</si>
  <si>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</si>
  <si>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</si>
  <si>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</si>
  <si>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</si>
  <si>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</si>
  <si>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</si>
  <si>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</si>
  <si>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</si>
  <si>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</si>
  <si>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</si>
  <si>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</si>
  <si>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</si>
  <si>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</si>
  <si>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</si>
  <si>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</si>
  <si>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</si>
  <si>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</si>
  <si>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</si>
  <si>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</si>
  <si>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</si>
  <si>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</si>
  <si>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</si>
  <si>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</si>
  <si>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</si>
  <si>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</si>
  <si>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</si>
  <si>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</si>
  <si>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</si>
  <si>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</si>
  <si>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</si>
  <si>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</si>
  <si>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</si>
  <si>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</si>
  <si>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</si>
  <si>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</si>
  <si>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</si>
  <si>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</si>
  <si>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</si>
  <si>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</si>
  <si>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</si>
  <si>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</si>
  <si>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</si>
  <si>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</si>
  <si>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</si>
  <si>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</si>
  <si>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</si>
  <si>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</si>
  <si>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</si>
  <si>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</si>
  <si>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</si>
  <si>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</si>
  <si>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</si>
  <si>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</si>
  <si>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</si>
  <si>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</si>
  <si>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</si>
  <si>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</si>
  <si>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</si>
  <si>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</si>
  <si>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</si>
  <si>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</si>
  <si>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</si>
  <si>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</si>
  <si>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</si>
  <si>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</si>
  <si>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</si>
  <si>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</si>
  <si>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</si>
  <si>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</si>
  <si>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</si>
  <si>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</si>
  <si>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</si>
  <si>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</si>
  <si>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</si>
  <si>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</si>
  <si>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</si>
  <si>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</si>
  <si>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</si>
  <si>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</si>
  <si>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</si>
  <si>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</si>
  <si>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</si>
  <si>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</si>
  <si>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</si>
  <si>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</si>
  <si>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</si>
  <si>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</si>
  <si>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</si>
  <si>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</si>
  <si>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</si>
  <si>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</si>
  <si>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</si>
  <si>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</si>
  <si>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</si>
  <si>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</si>
  <si>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</si>
  <si>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</si>
  <si>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</si>
  <si>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</si>
  <si>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</si>
  <si>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</si>
  <si>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</si>
  <si>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</si>
  <si>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</si>
  <si>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</si>
  <si>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</si>
  <si>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</si>
  <si>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</si>
  <si>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</si>
  <si>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</si>
  <si>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</si>
  <si>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</si>
  <si>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</si>
  <si>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</si>
  <si>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</si>
  <si>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</si>
  <si>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</si>
  <si>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</si>
  <si>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</si>
  <si>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</si>
  <si>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</si>
  <si>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</si>
  <si>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</si>
  <si>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</si>
  <si>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</si>
  <si>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</si>
  <si>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</si>
  <si>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</si>
  <si>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</si>
  <si>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</si>
  <si>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</si>
  <si>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</si>
  <si>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</si>
  <si>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</si>
  <si>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</si>
  <si>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</si>
  <si>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</si>
  <si>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</si>
  <si>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</si>
  <si>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</si>
  <si>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</si>
  <si>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</si>
  <si>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</si>
  <si>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</si>
  <si>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</si>
  <si>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</si>
  <si>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</si>
  <si>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</si>
  <si>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</si>
  <si>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</si>
  <si>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</si>
  <si>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</si>
  <si>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</si>
  <si>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</si>
  <si>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</si>
  <si>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</si>
  <si>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</si>
  <si>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</si>
  <si>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</si>
  <si>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</si>
  <si>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</si>
  <si>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</si>
  <si>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</si>
  <si>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</si>
  <si>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</si>
  <si>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</si>
  <si>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</si>
  <si>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</si>
  <si>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</si>
  <si>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</si>
  <si>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</si>
  <si>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</si>
  <si>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</si>
  <si>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</si>
  <si>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</si>
  <si>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</si>
  <si>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</si>
  <si>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</si>
  <si>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</si>
  <si>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</si>
  <si>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</si>
  <si>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</si>
  <si>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</si>
  <si>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</si>
  <si>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</si>
  <si>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</si>
  <si>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</si>
  <si>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</si>
  <si>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</si>
  <si>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</si>
  <si>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</si>
  <si>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</si>
  <si>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</si>
  <si>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</si>
  <si>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</si>
  <si>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</si>
  <si>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</si>
  <si>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</si>
  <si>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</si>
  <si>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</si>
  <si>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</si>
  <si>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</si>
  <si>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</si>
  <si>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</si>
  <si>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</si>
  <si>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</si>
  <si>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</si>
  <si>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</si>
  <si>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</si>
  <si>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</si>
  <si>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</si>
  <si>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</si>
  <si>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</si>
  <si>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</si>
  <si>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</si>
  <si>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</si>
  <si>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</si>
  <si>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</si>
  <si>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</si>
  <si>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</si>
  <si>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</si>
  <si>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</si>
  <si>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</si>
  <si>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</si>
  <si>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</si>
  <si>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</si>
  <si>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</si>
  <si>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</si>
  <si>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</si>
  <si>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</si>
  <si>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</si>
  <si>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</si>
  <si>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</si>
  <si>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</si>
  <si>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</si>
  <si>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</si>
  <si>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</si>
  <si>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</si>
  <si>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</si>
  <si>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</si>
  <si>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</si>
  <si>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</si>
  <si>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</si>
  <si>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</si>
  <si>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</si>
  <si>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</si>
  <si>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</si>
  <si>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</si>
  <si>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</si>
  <si>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</si>
  <si>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</si>
  <si>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</si>
  <si>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</si>
  <si>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</si>
  <si>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</si>
  <si>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</si>
  <si>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</si>
  <si>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</si>
  <si>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</si>
  <si>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</si>
  <si>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</si>
  <si>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</si>
  <si>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</si>
  <si>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</si>
  <si>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</si>
  <si>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</si>
  <si>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</si>
  <si>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</si>
  <si>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</si>
  <si>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</si>
  <si>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</si>
  <si>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</si>
  <si>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</si>
  <si>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</si>
  <si>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</si>
  <si>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</si>
  <si>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</si>
  <si>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</si>
  <si>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</si>
  <si>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</si>
  <si>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</si>
  <si>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</si>
  <si>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</si>
  <si>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</si>
  <si>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</si>
  <si>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</si>
  <si>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</si>
  <si>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</si>
  <si>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</si>
  <si>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</si>
  <si>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</si>
  <si>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</si>
  <si>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</si>
  <si>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</si>
  <si>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</si>
  <si>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</si>
  <si>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</si>
  <si>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</si>
  <si>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</si>
  <si>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</si>
  <si>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</si>
  <si>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</si>
  <si>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</si>
  <si>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</si>
  <si>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</si>
  <si>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</si>
  <si>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</si>
  <si>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</si>
  <si>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</si>
  <si>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</si>
  <si>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</si>
  <si>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</si>
  <si>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</si>
  <si>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</si>
  <si>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</si>
  <si>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</si>
  <si>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</si>
  <si>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</si>
  <si>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</si>
  <si>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</si>
  <si>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</si>
  <si>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</si>
  <si>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</si>
  <si>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</si>
  <si>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</si>
  <si>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</si>
  <si>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</si>
  <si>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</si>
  <si>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</si>
  <si>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</si>
  <si>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</si>
  <si>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</si>
  <si>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</si>
  <si>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</si>
  <si>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</si>
  <si>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</si>
  <si>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</si>
  <si>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</si>
  <si>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</si>
  <si>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</si>
  <si>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</si>
  <si>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</si>
  <si>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</si>
  <si>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</si>
  <si>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</si>
  <si>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</si>
  <si>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</si>
  <si>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</si>
  <si>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</si>
  <si>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</si>
  <si>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</si>
  <si>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</si>
  <si>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</si>
  <si>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</si>
  <si>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</si>
  <si>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</si>
  <si>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</si>
  <si>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</si>
  <si>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</si>
  <si>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</si>
  <si>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</si>
  <si>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</si>
  <si>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</si>
  <si>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</si>
  <si>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</si>
  <si>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</si>
  <si>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</si>
  <si>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</si>
  <si>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</si>
  <si>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</si>
  <si>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</si>
  <si>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</si>
  <si>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</si>
  <si>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</si>
  <si>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</si>
  <si>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</si>
  <si>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</si>
  <si>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</si>
  <si>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</si>
  <si>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</si>
  <si>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</si>
  <si>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</si>
  <si>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</si>
  <si>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</si>
  <si>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</si>
  <si>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</si>
  <si>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</si>
  <si>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</si>
  <si>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</si>
  <si>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</si>
  <si>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</si>
  <si>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</si>
  <si>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</si>
  <si>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</si>
  <si>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</si>
  <si>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</si>
  <si>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</si>
  <si>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</si>
  <si>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</si>
  <si>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</si>
  <si>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</si>
  <si>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</si>
  <si>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</si>
  <si>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</si>
  <si>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</si>
  <si>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</si>
  <si>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</si>
  <si>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</si>
  <si>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</si>
  <si>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</si>
  <si>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</si>
  <si>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</si>
  <si>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</si>
  <si>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</si>
  <si>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</si>
  <si>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</si>
  <si>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</si>
  <si>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</si>
  <si>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</si>
  <si>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</si>
  <si>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</si>
  <si>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</si>
  <si>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</si>
  <si>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</si>
  <si>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</si>
  <si>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</si>
  <si>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</si>
  <si>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</si>
  <si>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</si>
  <si>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</si>
  <si>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</si>
  <si>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</si>
  <si>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</si>
  <si>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</si>
  <si>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</si>
  <si>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</si>
  <si>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</si>
  <si>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</si>
  <si>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</si>
  <si>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</si>
  <si>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</si>
  <si>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</si>
  <si>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</si>
  <si>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</si>
  <si>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</si>
  <si>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</si>
  <si>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</si>
  <si>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</si>
  <si>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</si>
  <si>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</si>
  <si>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</si>
  <si>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</si>
  <si>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</si>
  <si>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</si>
  <si>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</si>
  <si>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</si>
  <si>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</si>
  <si>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</si>
  <si>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</si>
  <si>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</si>
  <si>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</si>
  <si>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</si>
  <si>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</si>
  <si>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</si>
  <si>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</si>
  <si>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</si>
  <si>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</si>
  <si>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</si>
  <si>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</si>
  <si>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</si>
  <si>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</si>
  <si>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</si>
  <si>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</si>
  <si>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</si>
  <si>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</si>
  <si>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</si>
  <si>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</si>
  <si>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</si>
  <si>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</si>
  <si>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</si>
  <si>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</si>
  <si>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</si>
  <si>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</si>
  <si>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</si>
  <si>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</si>
  <si>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</si>
  <si>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</si>
  <si>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</si>
  <si>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</si>
  <si>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</si>
  <si>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</si>
  <si>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</si>
  <si>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</si>
  <si>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</si>
  <si>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</si>
  <si>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</si>
  <si>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</si>
  <si>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</si>
  <si>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</si>
  <si>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</si>
  <si>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</si>
  <si>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</si>
  <si>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</si>
  <si>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</si>
  <si>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</si>
  <si>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</si>
  <si>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</si>
  <si>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</si>
  <si>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</si>
  <si>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</si>
  <si>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</si>
  <si>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</si>
  <si>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</si>
  <si>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</si>
  <si>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</si>
  <si>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</si>
  <si>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</si>
  <si>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</si>
  <si>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</si>
  <si>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</si>
  <si>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</si>
  <si>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</si>
  <si>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</si>
  <si>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</si>
  <si>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</si>
  <si>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</si>
  <si>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</si>
  <si>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</si>
  <si>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</si>
  <si>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</si>
  <si>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</si>
  <si>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</si>
  <si>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</si>
  <si>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</si>
  <si>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</si>
  <si>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</si>
  <si>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</si>
  <si>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</si>
  <si>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</si>
  <si>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</si>
  <si>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</si>
  <si>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</si>
  <si>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</si>
  <si>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</si>
  <si>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</si>
  <si>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</si>
  <si>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</si>
  <si>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</si>
  <si>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</si>
  <si>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</si>
  <si>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</si>
  <si>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</si>
  <si>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</si>
  <si>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</si>
  <si>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</si>
  <si>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</si>
  <si>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</si>
  <si>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</si>
  <si>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</si>
  <si>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</si>
  <si>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</si>
  <si>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</si>
  <si>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</si>
  <si>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</si>
  <si>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</si>
  <si>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</si>
  <si>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</si>
  <si>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</si>
  <si>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</si>
  <si>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</si>
  <si>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</si>
  <si>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</si>
  <si>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</si>
  <si>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</si>
  <si>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</si>
  <si>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</si>
  <si>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</si>
  <si>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</si>
  <si>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</si>
  <si>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</si>
  <si>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</si>
  <si>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</si>
  <si>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</si>
  <si>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</si>
  <si>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</si>
  <si>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</si>
  <si>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</si>
  <si>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</si>
  <si>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</si>
  <si>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</si>
  <si>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</si>
  <si>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</si>
  <si>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</si>
  <si>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</si>
  <si>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</si>
  <si>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</si>
  <si>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</si>
  <si>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</si>
  <si>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</si>
  <si>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</si>
  <si>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</si>
  <si>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</si>
  <si>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</si>
  <si>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</si>
  <si>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</si>
  <si>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</si>
  <si>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</si>
  <si>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</si>
  <si>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</si>
  <si>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</si>
  <si>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</si>
  <si>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</si>
  <si>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</si>
  <si>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</si>
  <si>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</si>
  <si>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</si>
  <si>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</si>
  <si>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</si>
  <si>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</si>
  <si>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</si>
  <si>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</si>
  <si>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</si>
  <si>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</si>
  <si>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</si>
  <si>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</si>
  <si>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</si>
  <si>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</si>
  <si>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</si>
  <si>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</si>
  <si>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</si>
  <si>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</si>
  <si>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</si>
  <si>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</si>
  <si>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</si>
  <si>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</si>
  <si>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</si>
  <si>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</si>
  <si>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</si>
  <si>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</si>
  <si>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</si>
  <si>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</si>
  <si>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</si>
  <si>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</si>
  <si>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</si>
  <si>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</si>
  <si>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</si>
  <si>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</si>
  <si>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</si>
  <si>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</si>
  <si>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</si>
  <si>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</si>
  <si>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</si>
  <si>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</si>
  <si>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</si>
  <si>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</si>
  <si>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</si>
  <si>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</si>
  <si>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</si>
  <si>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</si>
  <si>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</si>
  <si>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</si>
  <si>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</si>
  <si>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</si>
  <si>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</si>
  <si>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</si>
  <si>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</si>
  <si>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</si>
  <si>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</si>
  <si>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</si>
  <si>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</si>
  <si>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</si>
  <si>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</si>
  <si>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</si>
  <si>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</si>
  <si>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</si>
  <si>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</si>
  <si>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</si>
  <si>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</si>
  <si>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</si>
  <si>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</si>
  <si>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</si>
  <si>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</si>
  <si>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</si>
  <si>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</si>
  <si>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</si>
  <si>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</si>
  <si>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</si>
  <si>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</si>
  <si>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</si>
  <si>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</si>
  <si>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</si>
  <si>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</si>
  <si>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</si>
  <si>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</si>
  <si>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</si>
  <si>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</si>
  <si>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</si>
  <si>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</si>
  <si>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</si>
  <si>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</si>
  <si>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</si>
  <si>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</si>
  <si>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</si>
  <si>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</si>
  <si>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</si>
  <si>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</si>
  <si>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</si>
  <si>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</si>
  <si>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</si>
  <si>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</si>
  <si>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</si>
  <si>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</si>
  <si>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</si>
  <si>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</si>
  <si>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</si>
  <si>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</si>
  <si>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</si>
  <si>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</si>
  <si>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</si>
  <si>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</si>
  <si>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</si>
  <si>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</si>
  <si>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</si>
  <si>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</si>
  <si>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</si>
  <si>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</si>
  <si>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</si>
  <si>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</si>
  <si>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</si>
  <si>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</si>
  <si>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</si>
  <si>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</si>
  <si>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</si>
  <si>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</si>
  <si>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</si>
  <si>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</si>
  <si>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</si>
  <si>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</si>
  <si>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</si>
  <si>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</si>
  <si>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</si>
  <si>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</si>
  <si>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</si>
  <si>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</si>
  <si>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</si>
  <si>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</si>
  <si>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</si>
  <si>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</si>
  <si>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</si>
  <si>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</si>
  <si>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</si>
  <si>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</si>
  <si>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</si>
  <si>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</si>
  <si>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</si>
  <si>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</si>
  <si>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</si>
  <si>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</si>
  <si>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</si>
  <si>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</si>
  <si>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</si>
  <si>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</si>
  <si>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</si>
  <si>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</si>
  <si>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</si>
  <si>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</si>
  <si>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</si>
  <si>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</si>
  <si>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</si>
  <si>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</si>
  <si>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</si>
  <si>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</si>
  <si>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</si>
  <si>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</si>
  <si>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</si>
  <si>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</si>
  <si>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</si>
  <si>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</si>
  <si>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</si>
  <si>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</si>
  <si>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</si>
  <si>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</si>
  <si>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</si>
  <si>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</si>
  <si>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</si>
  <si>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</si>
  <si>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</si>
  <si>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</si>
  <si>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</si>
  <si>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</si>
  <si>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</si>
  <si>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</si>
  <si>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</si>
  <si>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</si>
  <si>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</si>
  <si>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</si>
  <si>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</si>
  <si>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</si>
  <si>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</si>
  <si>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</si>
  <si>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</si>
  <si>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</si>
  <si>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</si>
  <si>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</si>
  <si>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</si>
  <si>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</si>
  <si>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</si>
  <si>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</si>
  <si>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</si>
  <si>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</si>
  <si>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</si>
  <si>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</si>
  <si>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</si>
  <si>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</si>
  <si>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</si>
  <si>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</si>
  <si>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</si>
  <si>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</si>
  <si>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</si>
  <si>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</si>
  <si>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</si>
  <si>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</si>
  <si>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</si>
  <si>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</si>
  <si>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</si>
  <si>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</si>
  <si>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</si>
  <si>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</si>
  <si>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</si>
  <si>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</si>
  <si>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</si>
  <si>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</si>
  <si>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</si>
  <si>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</si>
  <si>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</si>
  <si>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</si>
  <si>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</si>
  <si>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</si>
  <si>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</si>
  <si>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</si>
  <si>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</si>
  <si>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</si>
  <si>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</si>
  <si>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</si>
  <si>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</si>
  <si>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</si>
  <si>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</si>
  <si>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</si>
  <si>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</si>
  <si>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</si>
  <si>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</si>
  <si>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</si>
  <si>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</si>
  <si>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</si>
  <si>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</si>
  <si>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</si>
  <si>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</si>
  <si>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</si>
  <si>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</si>
  <si>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</si>
  <si>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</si>
  <si>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</si>
  <si>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</si>
  <si>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</si>
  <si>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</si>
  <si>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</si>
  <si>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</si>
  <si>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</si>
  <si>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</si>
  <si>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</si>
  <si>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</si>
  <si>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</si>
  <si>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</si>
  <si>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</si>
  <si>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</si>
  <si>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</si>
  <si>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</si>
  <si>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</si>
  <si>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</si>
  <si>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</si>
  <si>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</si>
  <si>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</si>
  <si>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</si>
  <si>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</si>
  <si>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</si>
  <si>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</si>
  <si>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</si>
  <si>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</si>
  <si>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</si>
  <si>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</si>
  <si>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</si>
  <si>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</si>
  <si>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</si>
  <si>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</si>
  <si>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</si>
  <si>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</si>
  <si>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</si>
  <si>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</si>
  <si>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</si>
  <si>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</si>
  <si>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</si>
  <si>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</si>
  <si>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</si>
  <si>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</si>
  <si>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</si>
  <si>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</si>
  <si>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</si>
  <si>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</si>
  <si>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</si>
  <si>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</si>
  <si>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</si>
  <si>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</si>
  <si>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</si>
  <si>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</si>
  <si>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</si>
  <si>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</si>
  <si>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</si>
  <si>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</si>
  <si>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</si>
  <si>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</si>
  <si>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</si>
  <si>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</si>
  <si>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</si>
  <si>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</si>
  <si>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</si>
  <si>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</si>
  <si>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</si>
  <si>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</si>
  <si>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</si>
  <si>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</si>
  <si>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</si>
  <si>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</si>
  <si>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</si>
  <si>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</si>
  <si>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</si>
  <si>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</si>
  <si>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</si>
  <si>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</si>
  <si>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</si>
  <si>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</si>
  <si>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</si>
  <si>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</si>
  <si>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</si>
  <si>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</si>
  <si>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</si>
  <si>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</si>
  <si>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</si>
  <si>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</si>
  <si>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</si>
  <si>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</si>
  <si>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</si>
  <si>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</si>
  <si>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</si>
  <si>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</si>
  <si>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</si>
  <si>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</si>
  <si>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</si>
  <si>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</si>
  <si>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</si>
  <si>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</si>
  <si>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</si>
  <si>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</si>
  <si>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</si>
  <si>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</si>
  <si>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</si>
  <si>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</si>
  <si>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</si>
  <si>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</si>
  <si>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</si>
  <si>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</si>
  <si>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</si>
  <si>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</si>
  <si>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</si>
  <si>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</si>
  <si>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</si>
  <si>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</si>
  <si>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</si>
  <si>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</si>
  <si>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</si>
  <si>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</si>
  <si>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</si>
  <si>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</si>
  <si>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</si>
  <si>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</si>
  <si>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</si>
  <si>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</si>
  <si>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</si>
  <si>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</si>
  <si>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</si>
  <si>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</si>
  <si>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</si>
  <si>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</si>
  <si>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</si>
  <si>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</si>
  <si>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</si>
  <si>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</si>
  <si>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</si>
  <si>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</si>
  <si>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</si>
  <si>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</si>
  <si>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</si>
  <si>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</si>
  <si>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</si>
  <si>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</si>
  <si>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</si>
  <si>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</si>
  <si>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</si>
  <si>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</si>
  <si>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</si>
  <si>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</si>
  <si>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</si>
  <si>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</si>
  <si>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</si>
  <si>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</si>
  <si>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</si>
  <si>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</si>
  <si>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</si>
  <si>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</si>
  <si>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</si>
  <si>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</si>
  <si>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</si>
  <si>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</si>
  <si>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</si>
  <si>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</si>
  <si>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</si>
  <si>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</si>
  <si>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</si>
  <si>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</si>
  <si>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</si>
  <si>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</si>
  <si>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</si>
  <si>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</si>
  <si>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</si>
  <si>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</si>
  <si>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</si>
  <si>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</si>
  <si>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</si>
  <si>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</si>
  <si>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</si>
  <si>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</si>
  <si>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</si>
  <si>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</si>
  <si>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</si>
  <si>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</si>
  <si>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</si>
  <si>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</si>
  <si>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</si>
  <si>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</si>
  <si>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</si>
  <si>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</si>
  <si>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</si>
  <si>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</si>
  <si>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</si>
  <si>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</si>
  <si>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</si>
  <si>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</si>
  <si>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</si>
  <si>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</si>
  <si>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</si>
  <si>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</si>
  <si>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</si>
  <si>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</si>
  <si>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</si>
  <si>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</si>
  <si>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</si>
  <si>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</si>
  <si>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</si>
  <si>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</si>
  <si>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</si>
  <si>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</si>
  <si>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</si>
  <si>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</si>
  <si>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</si>
  <si>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</si>
  <si>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</si>
  <si>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</si>
  <si>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</si>
  <si>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</si>
  <si>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</si>
  <si>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</si>
  <si>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</si>
  <si>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</si>
  <si>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</si>
  <si>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</si>
  <si>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</si>
  <si>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</si>
  <si>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</si>
  <si>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</si>
  <si>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</si>
  <si>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</si>
  <si>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</si>
  <si>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</si>
  <si>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</si>
  <si>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</si>
  <si>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</si>
  <si>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</si>
  <si>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</si>
  <si>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</si>
  <si>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</si>
  <si>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</si>
  <si>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</si>
  <si>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</si>
  <si>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</si>
  <si>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</si>
  <si>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</si>
  <si>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</si>
  <si>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</si>
  <si>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</si>
  <si>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</si>
  <si>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</si>
  <si>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</si>
  <si>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</si>
  <si>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</si>
  <si>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</si>
  <si>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</si>
  <si>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</si>
  <si>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</si>
  <si>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</si>
  <si>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</si>
  <si>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</si>
  <si>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</si>
  <si>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</si>
  <si>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</si>
  <si>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</si>
  <si>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</si>
  <si>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</si>
  <si>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</si>
  <si>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</si>
  <si>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</si>
  <si>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</si>
  <si>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</si>
  <si>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</si>
  <si>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</si>
  <si>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</si>
  <si>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</si>
  <si>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</si>
  <si>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</si>
  <si>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</si>
  <si>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</si>
  <si>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</si>
  <si>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</si>
  <si>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</si>
  <si>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</si>
  <si>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</si>
  <si>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</si>
  <si>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</si>
  <si>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</si>
  <si>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</si>
  <si>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</si>
  <si>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</si>
  <si>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</si>
  <si>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</si>
  <si>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</si>
  <si>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</si>
  <si>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</si>
  <si>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</si>
  <si>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</si>
  <si>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</si>
  <si>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</si>
  <si>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</si>
  <si>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</si>
  <si>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</si>
  <si>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</si>
  <si>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</si>
  <si>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</si>
  <si>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</si>
  <si>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</si>
  <si>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</si>
  <si>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</si>
  <si>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</si>
  <si>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</si>
  <si>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</si>
  <si>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</si>
  <si>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</si>
  <si>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</si>
  <si>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</si>
  <si>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</si>
  <si>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</si>
  <si>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</si>
  <si>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</si>
  <si>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</si>
  <si>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</si>
  <si>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</si>
  <si>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</si>
  <si>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</si>
  <si>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</si>
  <si>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</si>
  <si>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</si>
  <si>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</si>
  <si>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</si>
  <si>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</si>
  <si>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</si>
  <si>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</si>
  <si>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</si>
  <si>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</si>
  <si>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</si>
  <si>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</si>
  <si>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</si>
  <si>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</si>
  <si>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</si>
  <si>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</si>
  <si>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</si>
  <si>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</si>
  <si>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</si>
  <si>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</si>
  <si>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</si>
  <si>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</si>
  <si>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</si>
  <si>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</si>
  <si>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</si>
  <si>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</si>
  <si>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</si>
  <si>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</si>
  <si>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</si>
  <si>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</si>
  <si>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</si>
  <si>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</si>
  <si>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</si>
  <si>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</si>
  <si>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</si>
  <si>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</si>
  <si>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</si>
  <si>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</si>
  <si>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</si>
  <si>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</si>
  <si>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</si>
  <si>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</si>
  <si>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</si>
  <si>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</si>
  <si>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</si>
  <si>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</si>
  <si>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</si>
  <si>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</si>
  <si>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</si>
  <si>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</si>
  <si>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</si>
  <si>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</si>
  <si>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</si>
  <si>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</si>
  <si>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</si>
  <si>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</si>
  <si>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</si>
  <si>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</si>
  <si>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</si>
  <si>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</si>
  <si>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</si>
  <si>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</si>
  <si>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</si>
  <si>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</si>
  <si>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</si>
  <si>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</si>
  <si>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</si>
  <si>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</si>
  <si>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</si>
  <si>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</si>
  <si>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</si>
  <si>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</si>
  <si>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</si>
  <si>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</si>
  <si>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</si>
  <si>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</si>
  <si>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</si>
  <si>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</si>
  <si>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</si>
  <si>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</si>
  <si>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</si>
  <si>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</si>
  <si>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</si>
  <si>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</si>
  <si>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</si>
  <si>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</si>
  <si>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</si>
  <si>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</si>
  <si>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</si>
  <si>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</si>
  <si>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</si>
  <si>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</si>
  <si>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</si>
  <si>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</si>
  <si>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</si>
  <si>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</si>
  <si>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</si>
  <si>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</si>
  <si>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</si>
  <si>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</si>
  <si>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</si>
  <si>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</si>
  <si>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</si>
  <si>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</si>
  <si>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</si>
  <si>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</si>
  <si>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</si>
  <si>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</si>
  <si>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</si>
  <si>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</si>
  <si>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</si>
  <si>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</si>
  <si>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</si>
  <si>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</si>
  <si>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</si>
  <si>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</si>
  <si>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</si>
  <si>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</si>
  <si>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</si>
  <si>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</si>
  <si>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</si>
  <si>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</si>
  <si>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</si>
  <si>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</si>
  <si>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</si>
  <si>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</si>
  <si>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</si>
  <si>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</si>
  <si>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</si>
  <si>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</si>
  <si>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</si>
  <si>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</si>
  <si>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</si>
  <si>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</si>
  <si>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</si>
  <si>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</si>
  <si>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</si>
  <si>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</si>
  <si>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</si>
  <si>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</si>
  <si>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</si>
  <si>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</si>
  <si>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</si>
  <si>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</si>
  <si>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</si>
  <si>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</si>
  <si>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</si>
  <si>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</si>
  <si>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</si>
  <si>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</si>
  <si>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</si>
  <si>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</si>
  <si>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</si>
  <si>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</si>
  <si>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</si>
  <si>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</si>
  <si>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</si>
  <si>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</si>
  <si>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</si>
  <si>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</si>
  <si>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</si>
  <si>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</si>
  <si>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</si>
  <si>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</si>
  <si>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</si>
  <si>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</si>
  <si>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</si>
  <si>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</si>
  <si>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</si>
  <si>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</si>
  <si>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</si>
  <si>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</si>
  <si>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</si>
  <si>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</si>
  <si>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</si>
  <si>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</si>
  <si>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</si>
  <si>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</si>
  <si>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</si>
  <si>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</si>
  <si>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</si>
  <si>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</si>
  <si>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</si>
  <si>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</si>
  <si>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</si>
  <si>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</si>
  <si>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</si>
  <si>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</si>
  <si>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</si>
  <si>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</si>
  <si>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</si>
  <si>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</si>
  <si>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</si>
  <si>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</si>
  <si>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</si>
  <si>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</si>
  <si>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</si>
  <si>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</si>
  <si>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</si>
  <si>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</si>
  <si>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</si>
  <si>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</si>
  <si>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</si>
  <si>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</si>
  <si>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</si>
  <si>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</si>
  <si>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</si>
  <si>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</si>
  <si>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</si>
  <si>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</si>
  <si>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</si>
  <si>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</si>
  <si>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</si>
  <si>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</si>
  <si>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</si>
  <si>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</si>
  <si>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</si>
  <si>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</si>
  <si>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</si>
  <si>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</si>
  <si>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</si>
  <si>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</si>
  <si>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</si>
  <si>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</si>
  <si>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</si>
  <si>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</si>
  <si>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</si>
  <si>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</si>
  <si>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</si>
  <si>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</si>
  <si>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</si>
  <si>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</si>
  <si>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</si>
  <si>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</si>
  <si>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</si>
  <si>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</si>
  <si>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</si>
  <si>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</si>
  <si>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</si>
  <si>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</si>
  <si>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</si>
  <si>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</si>
  <si>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</si>
  <si>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</si>
  <si>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</si>
  <si>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</si>
  <si>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</si>
  <si>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</si>
  <si>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</si>
  <si>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</si>
  <si>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</si>
  <si>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</si>
  <si>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</si>
  <si>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</si>
  <si>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</si>
  <si>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</si>
  <si>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</si>
  <si>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</si>
  <si>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</si>
  <si>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</si>
  <si>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</si>
  <si>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</si>
  <si>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</si>
  <si>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</si>
  <si>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</si>
  <si>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</si>
  <si>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</si>
  <si>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</si>
  <si>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</si>
  <si>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</si>
  <si>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</si>
  <si>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</si>
  <si>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</si>
  <si>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</si>
  <si>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</si>
  <si>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</si>
  <si>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</si>
  <si>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</si>
  <si>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</si>
  <si>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</si>
  <si>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</si>
  <si>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</si>
  <si>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</si>
  <si>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</si>
  <si>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</si>
  <si>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</si>
  <si>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</si>
  <si>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</si>
  <si>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</si>
  <si>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</si>
  <si>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</si>
  <si>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</si>
  <si>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</si>
  <si>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</si>
  <si>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</si>
  <si>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</si>
  <si>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</si>
  <si>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</si>
  <si>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</si>
  <si>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</si>
  <si>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</si>
  <si>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</si>
  <si>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</si>
  <si>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</si>
  <si>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</si>
  <si>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</si>
  <si>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</si>
  <si>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</si>
  <si>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</si>
  <si>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</si>
  <si>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</si>
  <si>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</si>
  <si>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</si>
  <si>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</si>
  <si>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</si>
  <si>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</si>
  <si>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</si>
  <si>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</si>
  <si>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</si>
  <si>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</si>
  <si>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</si>
  <si>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</si>
  <si>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</si>
  <si>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</si>
  <si>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</si>
  <si>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</si>
  <si>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</si>
  <si>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</si>
  <si>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</si>
  <si>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</si>
  <si>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</si>
  <si>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</si>
  <si>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</si>
  <si>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</si>
  <si>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</si>
  <si>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</si>
  <si>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</si>
  <si>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</si>
  <si>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</si>
  <si>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</si>
  <si>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</si>
  <si>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</si>
  <si>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</si>
  <si>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</si>
  <si>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</si>
  <si>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</si>
  <si>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</si>
  <si>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</si>
  <si>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</si>
  <si>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</si>
  <si>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</si>
  <si>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</si>
  <si>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</si>
  <si>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</si>
  <si>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</si>
  <si>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</si>
  <si>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</si>
  <si>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</si>
  <si>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</si>
  <si>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</si>
  <si>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</si>
  <si>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</si>
  <si>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</si>
  <si>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</si>
  <si>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</si>
  <si>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</si>
  <si>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</si>
  <si>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</si>
  <si>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</si>
  <si>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</si>
  <si>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</si>
  <si>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</si>
  <si>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</si>
  <si>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</si>
  <si>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</si>
  <si>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</si>
  <si>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</si>
  <si>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</si>
  <si>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</si>
  <si>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</si>
  <si>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</si>
  <si>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</si>
  <si>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</si>
  <si>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</si>
  <si>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</si>
  <si>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</si>
  <si>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</si>
  <si>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</si>
  <si>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</si>
  <si>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</si>
  <si>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</si>
  <si>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</si>
  <si>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</si>
  <si>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</si>
  <si>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</si>
  <si>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</si>
  <si>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</si>
  <si>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</si>
  <si>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</si>
  <si>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</si>
  <si>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</si>
  <si>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</si>
  <si>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</si>
  <si>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</si>
  <si>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</si>
  <si>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</si>
  <si>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</si>
  <si>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</si>
  <si>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</si>
  <si>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</si>
  <si>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</si>
  <si>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</si>
  <si>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</si>
  <si>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</si>
  <si>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</si>
  <si>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</si>
  <si>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</si>
  <si>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</si>
  <si>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</si>
  <si>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</si>
  <si>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</si>
  <si>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</si>
  <si>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</si>
  <si>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</si>
  <si>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</si>
  <si>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</si>
  <si>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</si>
  <si>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</si>
  <si>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</si>
  <si>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</si>
  <si>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</si>
  <si>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</si>
  <si>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</si>
  <si>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</si>
  <si>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</si>
  <si>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</si>
  <si>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</si>
  <si>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</si>
  <si>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</si>
  <si>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</si>
  <si>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</si>
  <si>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</si>
  <si>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</si>
  <si>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</si>
  <si>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</si>
  <si>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</si>
  <si>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</si>
  <si>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</si>
  <si>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</si>
  <si>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</si>
  <si>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</si>
  <si>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</si>
  <si>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</si>
  <si>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</si>
  <si>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</si>
  <si>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</si>
  <si>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</si>
  <si>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</si>
  <si>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</si>
  <si>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</si>
  <si>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</si>
  <si>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</si>
  <si>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</si>
  <si>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</si>
  <si>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</si>
  <si>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</si>
  <si>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</si>
  <si>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</si>
  <si>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</si>
  <si>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</si>
  <si>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</si>
  <si>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</si>
  <si>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</si>
  <si>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</si>
  <si>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</si>
  <si>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</si>
  <si>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</si>
  <si>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</si>
  <si>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</si>
  <si>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</si>
  <si>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</si>
  <si>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</si>
  <si>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</si>
  <si>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</si>
  <si>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</si>
  <si>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</si>
  <si>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</si>
  <si>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</si>
  <si>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</si>
  <si>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</si>
  <si>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</si>
  <si>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</si>
  <si>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</si>
  <si>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</si>
  <si>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</si>
  <si>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</si>
  <si>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</si>
  <si>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</si>
  <si>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</si>
  <si>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</si>
  <si>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</si>
  <si>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</si>
  <si>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</si>
  <si>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</si>
  <si>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</si>
  <si>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</si>
  <si>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</si>
  <si>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</si>
  <si>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</si>
  <si>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</si>
  <si>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</si>
  <si>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</si>
  <si>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</si>
  <si>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</si>
  <si>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</si>
  <si>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</si>
  <si>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</si>
  <si>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</si>
  <si>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</si>
  <si>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</si>
  <si>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</si>
  <si>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</si>
  <si>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</si>
  <si>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</si>
  <si>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</si>
  <si>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</si>
  <si>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</si>
  <si>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</si>
  <si>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</si>
  <si>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</si>
  <si>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</si>
  <si>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</si>
  <si>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</si>
  <si>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</si>
  <si>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</si>
  <si>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</si>
  <si>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</si>
  <si>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</si>
  <si>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</si>
  <si>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</si>
  <si>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</si>
  <si>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</si>
  <si>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</si>
  <si>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</si>
  <si>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</si>
  <si>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</si>
  <si>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</si>
  <si>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</si>
  <si>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</si>
  <si>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</si>
  <si>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</si>
  <si>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</si>
  <si>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</si>
  <si>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</si>
  <si>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</si>
  <si>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</si>
  <si>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</si>
  <si>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</si>
  <si>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</si>
  <si>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</si>
  <si>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</si>
  <si>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</si>
  <si>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</si>
  <si>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</si>
  <si>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</si>
  <si>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</si>
  <si>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</si>
  <si>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</si>
  <si>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</si>
  <si>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</si>
  <si>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</si>
  <si>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</si>
  <si>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</si>
  <si>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</si>
  <si>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</si>
  <si>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</si>
  <si>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</si>
  <si>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</si>
  <si>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</si>
  <si>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</si>
  <si>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</si>
  <si>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</si>
  <si>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</si>
  <si>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</si>
  <si>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</si>
  <si>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</si>
  <si>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</si>
  <si>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</si>
  <si>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</si>
  <si>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</si>
  <si>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</si>
  <si>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</si>
  <si>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</si>
  <si>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</si>
  <si>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</si>
  <si>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</si>
  <si>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</si>
  <si>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</si>
  <si>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</si>
  <si>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</si>
  <si>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</si>
  <si>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</si>
  <si>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</si>
  <si>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</si>
  <si>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</si>
  <si>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</si>
  <si>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</si>
  <si>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</si>
  <si>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</si>
  <si>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</si>
  <si>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</si>
  <si>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</si>
  <si>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</si>
  <si>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</si>
  <si>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</si>
  <si>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</si>
  <si>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</si>
  <si>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</si>
  <si>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</si>
  <si>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</si>
  <si>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</si>
  <si>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</si>
  <si>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</si>
  <si>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</si>
  <si>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</si>
  <si>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</si>
  <si>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</si>
  <si>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</si>
  <si>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</si>
  <si>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</si>
  <si>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</si>
  <si>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</si>
  <si>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</si>
  <si>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</si>
  <si>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</si>
  <si>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</si>
  <si>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</si>
  <si>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</si>
  <si>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</si>
  <si>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</si>
  <si>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</si>
  <si>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</si>
  <si>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</si>
  <si>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</si>
  <si>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</si>
  <si>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</si>
  <si>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</si>
  <si>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</si>
  <si>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</si>
  <si>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</si>
  <si>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</si>
  <si>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</si>
  <si>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</si>
  <si>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</si>
  <si>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</si>
  <si>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</si>
  <si>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</si>
  <si>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</si>
  <si>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</si>
  <si>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</si>
  <si>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</si>
  <si>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</si>
  <si>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</si>
  <si>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</si>
  <si>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</si>
  <si>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</si>
  <si>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</si>
  <si>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</si>
  <si>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</si>
  <si>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</si>
  <si>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</si>
  <si>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</si>
  <si>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</si>
  <si>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</si>
  <si>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</si>
  <si>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</si>
  <si>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</si>
  <si>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</si>
  <si>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</si>
  <si>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</si>
  <si>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</si>
  <si>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</si>
  <si>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</si>
  <si>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</si>
  <si>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</si>
  <si>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</si>
  <si>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</si>
  <si>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</si>
  <si>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</si>
  <si>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</si>
  <si>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</si>
  <si>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</si>
  <si>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</si>
  <si>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</si>
  <si>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</si>
  <si>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</si>
  <si>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</si>
  <si>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</si>
  <si>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</si>
  <si>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</si>
  <si>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</si>
  <si>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</si>
  <si>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</si>
  <si>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</si>
  <si>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</si>
  <si>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</si>
  <si>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</si>
  <si>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</si>
  <si>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</si>
  <si>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</si>
  <si>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</si>
  <si>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</si>
  <si>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</si>
  <si>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</si>
  <si>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</si>
  <si>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</si>
  <si>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</si>
  <si>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</si>
  <si>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</si>
  <si>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</si>
  <si>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</si>
  <si>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</si>
  <si>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</si>
  <si>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</si>
  <si>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</si>
  <si>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</si>
  <si>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</si>
  <si>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</si>
  <si>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</si>
  <si>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</si>
  <si>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</si>
  <si>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</si>
  <si>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</si>
  <si>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</si>
  <si>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</si>
  <si>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</si>
  <si>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</si>
  <si>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</si>
  <si>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</si>
  <si>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</si>
  <si>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</si>
  <si>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</si>
  <si>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</si>
  <si>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</si>
  <si>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</si>
  <si>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</si>
  <si>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</si>
  <si>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</si>
  <si>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</si>
  <si>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</si>
  <si>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</si>
  <si>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</si>
  <si>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</si>
  <si>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</si>
  <si>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</si>
  <si>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</si>
  <si>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</si>
  <si>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</si>
  <si>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</si>
  <si>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</si>
  <si>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</si>
  <si>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</si>
  <si>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</si>
  <si>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</si>
  <si>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</si>
  <si>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</si>
  <si>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</si>
  <si>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</si>
  <si>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</si>
  <si>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</si>
  <si>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</si>
  <si>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</si>
  <si>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</si>
  <si>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</si>
  <si>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</si>
  <si>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</si>
  <si>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</si>
  <si>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</si>
  <si>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</si>
  <si>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</si>
  <si>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</si>
  <si>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</si>
  <si>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</si>
  <si>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</si>
  <si>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</si>
  <si>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</si>
  <si>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</si>
  <si>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</si>
  <si>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</si>
  <si>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</si>
  <si>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</si>
  <si>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</si>
  <si>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</si>
  <si>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</si>
  <si>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</si>
  <si>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</si>
  <si>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</si>
  <si>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</si>
  <si>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</si>
  <si>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</si>
  <si>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</si>
  <si>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</si>
  <si>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</si>
  <si>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</si>
  <si>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</si>
  <si>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</si>
  <si>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</si>
  <si>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</si>
  <si>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</si>
  <si>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</si>
  <si>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</si>
  <si>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</si>
  <si>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</si>
  <si>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</si>
  <si>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</si>
  <si>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</si>
  <si>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</si>
  <si>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</si>
  <si>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</si>
  <si>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</si>
  <si>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</si>
  <si>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</si>
  <si>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</si>
  <si>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</si>
  <si>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</si>
  <si>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</si>
  <si>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</si>
  <si>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</si>
  <si>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</si>
  <si>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</si>
  <si>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</si>
  <si>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</si>
  <si>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</si>
  <si>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</si>
  <si>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</si>
  <si>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</si>
  <si>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</si>
  <si>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</si>
  <si>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</si>
  <si>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</si>
  <si>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</si>
  <si>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</si>
  <si>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</si>
  <si>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</si>
  <si>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</si>
  <si>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</si>
  <si>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</si>
  <si>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</si>
  <si>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</si>
  <si>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</si>
  <si>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</si>
  <si>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</si>
  <si>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</si>
  <si>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</si>
  <si>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</si>
  <si>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</si>
  <si>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</si>
  <si>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</si>
  <si>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</si>
  <si>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</si>
  <si>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</si>
  <si>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</si>
  <si>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</si>
  <si>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</si>
  <si>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</si>
  <si>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</si>
  <si>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</si>
  <si>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</si>
  <si>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</si>
  <si>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</si>
  <si>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</si>
  <si>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</si>
  <si>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</si>
  <si>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</si>
  <si>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</si>
  <si>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</si>
  <si>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</si>
  <si>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</si>
  <si>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</si>
  <si>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</si>
  <si>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</si>
  <si>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</si>
  <si>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</si>
  <si>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</si>
  <si>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</si>
  <si>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</si>
  <si>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</si>
  <si>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</si>
  <si>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</si>
  <si>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</si>
  <si>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</si>
  <si>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</si>
  <si>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</si>
  <si>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</si>
  <si>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</si>
  <si>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</si>
  <si>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</si>
  <si>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</si>
  <si>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</si>
  <si>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</si>
  <si>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</si>
  <si>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</si>
  <si>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</si>
  <si>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</si>
  <si>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</si>
  <si>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</si>
  <si>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</si>
  <si>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</si>
  <si>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</si>
  <si>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</si>
  <si>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</si>
  <si>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</si>
  <si>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</si>
  <si>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</si>
  <si>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</si>
  <si>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</si>
  <si>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</si>
  <si>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</si>
  <si>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</si>
  <si>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</si>
  <si>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</si>
  <si>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</si>
  <si>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</si>
  <si>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</si>
  <si>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</si>
  <si>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</si>
  <si>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</si>
  <si>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</si>
  <si>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</si>
  <si>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</si>
  <si>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</si>
  <si>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</si>
  <si>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</si>
  <si>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</si>
  <si>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</si>
  <si>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</si>
  <si>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</si>
  <si>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</si>
  <si>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</si>
  <si>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</si>
  <si>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</si>
  <si>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</si>
  <si>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</si>
  <si>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</si>
  <si>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</si>
  <si>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</si>
  <si>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</si>
  <si>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</si>
  <si>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</si>
  <si>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</si>
  <si>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</si>
  <si>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</si>
  <si>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</si>
  <si>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</si>
  <si>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</si>
  <si>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</si>
  <si>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</si>
  <si>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</si>
  <si>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</si>
  <si>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</si>
  <si>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</si>
  <si>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</si>
  <si>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</si>
  <si>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</si>
  <si>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</si>
  <si>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</si>
  <si>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</si>
  <si>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</si>
  <si>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</si>
  <si>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</si>
  <si>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</si>
  <si>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</si>
  <si>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</si>
  <si>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</si>
  <si>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</si>
  <si>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</si>
  <si>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</si>
  <si>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</si>
  <si>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</si>
  <si>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</si>
  <si>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</si>
  <si>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</si>
  <si>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</si>
  <si>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</si>
  <si>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</si>
  <si>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</si>
  <si>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</si>
  <si>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</si>
  <si>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</si>
  <si>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</si>
  <si>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</si>
  <si>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</si>
  <si>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</si>
  <si>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</si>
  <si>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</si>
  <si>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</si>
  <si>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</si>
  <si>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</si>
  <si>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</si>
  <si>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</si>
  <si>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</si>
  <si>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</si>
  <si>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</si>
  <si>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</si>
  <si>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</si>
  <si>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</si>
  <si>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</si>
  <si>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</si>
  <si>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</si>
  <si>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</si>
  <si>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</si>
  <si>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</si>
  <si>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</si>
  <si>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</si>
  <si>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</si>
  <si>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</si>
  <si>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</si>
  <si>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</si>
  <si>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</si>
  <si>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</si>
  <si>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</si>
  <si>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</si>
  <si>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</si>
  <si>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</si>
  <si>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</si>
  <si>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</si>
  <si>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</si>
  <si>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</si>
  <si>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</si>
  <si>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</si>
  <si>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</si>
  <si>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</si>
  <si>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</si>
  <si>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</si>
  <si>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</si>
  <si>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</si>
  <si>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</si>
  <si>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</si>
  <si>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</si>
  <si>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</si>
  <si>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</si>
  <si>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</si>
  <si>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</si>
  <si>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</si>
  <si>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</si>
  <si>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</si>
  <si>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</si>
  <si>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</si>
  <si>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</si>
  <si>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</si>
  <si>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</si>
  <si>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</si>
  <si>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</si>
  <si>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</si>
  <si>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</si>
  <si>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</si>
  <si>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</si>
  <si>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</si>
  <si>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</si>
  <si>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</si>
  <si>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</si>
  <si>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</si>
  <si>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</si>
  <si>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</si>
  <si>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</si>
  <si>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</si>
  <si>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</si>
  <si>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</si>
  <si>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</si>
  <si>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</si>
  <si>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</si>
  <si>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</si>
  <si>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</si>
  <si>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</si>
  <si>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</si>
  <si>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</si>
  <si>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</si>
  <si>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</si>
  <si>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</si>
  <si>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</si>
  <si>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</si>
  <si>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</si>
  <si>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</si>
  <si>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</si>
  <si>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</si>
  <si>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</si>
  <si>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</si>
  <si>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</si>
  <si>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</si>
  <si>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</si>
  <si>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</si>
  <si>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</si>
  <si>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</si>
  <si>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</si>
  <si>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</si>
  <si>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</si>
  <si>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</si>
  <si>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</si>
  <si>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</si>
  <si>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</si>
  <si>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</si>
  <si>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</si>
  <si>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</si>
  <si>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</si>
  <si>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</si>
  <si>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</si>
  <si>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</si>
  <si>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</si>
  <si>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</si>
  <si>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</si>
  <si>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</si>
  <si>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</si>
  <si>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</si>
  <si>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</si>
  <si>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</si>
  <si>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</si>
  <si>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</si>
  <si>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</si>
  <si>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</si>
  <si>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</si>
  <si>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</si>
  <si>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</si>
  <si>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</si>
  <si>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</si>
  <si>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</si>
  <si>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</si>
  <si>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</si>
  <si>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</si>
  <si>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</si>
  <si>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</si>
  <si>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</si>
  <si>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</si>
  <si>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</si>
  <si>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</si>
  <si>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</si>
  <si>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</si>
  <si>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</si>
  <si>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</si>
  <si>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</si>
  <si>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</si>
  <si>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</si>
  <si>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</si>
  <si>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</si>
  <si>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</si>
  <si>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</si>
  <si>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</si>
  <si>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</si>
  <si>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</si>
  <si>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</si>
  <si>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</si>
  <si>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</si>
  <si>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</si>
  <si>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</si>
  <si>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</si>
  <si>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</si>
  <si>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</si>
  <si>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</si>
  <si>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</si>
  <si>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</si>
  <si>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</si>
  <si>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</si>
  <si>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</si>
  <si>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</si>
  <si>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</si>
  <si>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</si>
  <si>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</si>
  <si>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</si>
  <si>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</si>
  <si>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</si>
  <si>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</si>
  <si>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</si>
  <si>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</si>
  <si>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</si>
  <si>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</si>
  <si>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</si>
  <si>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</si>
  <si>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</si>
  <si>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</si>
  <si>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</si>
  <si>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</si>
  <si>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</si>
  <si>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</si>
  <si>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</si>
  <si>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</si>
  <si>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</si>
  <si>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</si>
  <si>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</si>
  <si>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</si>
  <si>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</si>
  <si>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</si>
  <si>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</si>
  <si>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</si>
  <si>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</si>
  <si>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</si>
  <si>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</si>
  <si>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</si>
  <si>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</si>
  <si>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</si>
  <si>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</si>
  <si>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</si>
  <si>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</si>
  <si>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</si>
  <si>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</si>
  <si>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</si>
  <si>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</si>
  <si>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</si>
  <si>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</si>
  <si>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</si>
  <si>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</si>
  <si>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</si>
  <si>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</si>
  <si>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</si>
  <si>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</si>
  <si>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</si>
  <si>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</si>
  <si>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</si>
  <si>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</si>
  <si>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</si>
  <si>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</si>
  <si>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</si>
  <si>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</si>
  <si>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</si>
  <si>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</si>
  <si>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</si>
  <si>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</si>
  <si>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</si>
  <si>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</si>
  <si>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</si>
  <si>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</si>
  <si>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</si>
  <si>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</si>
  <si>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</si>
  <si>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</si>
  <si>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</si>
  <si>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</si>
  <si>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</si>
  <si>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</si>
  <si>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</si>
  <si>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</si>
  <si>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</si>
  <si>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</si>
  <si>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</si>
  <si>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</si>
  <si>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</si>
  <si>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</si>
  <si>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</si>
  <si>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</si>
  <si>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</si>
  <si>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</si>
  <si>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</si>
  <si>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</si>
  <si>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</si>
  <si>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</si>
  <si>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</si>
  <si>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</si>
  <si>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</si>
  <si>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</si>
  <si>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</si>
  <si>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</si>
  <si>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</si>
  <si>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</si>
  <si>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</si>
  <si>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</si>
  <si>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</si>
  <si>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</si>
  <si>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</si>
  <si>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</si>
  <si>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</si>
  <si>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</si>
  <si>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</si>
  <si>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</si>
  <si>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</si>
  <si>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</si>
  <si>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</si>
  <si>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</si>
  <si>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</si>
  <si>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</si>
  <si>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</si>
  <si>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</si>
  <si>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</si>
  <si>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</si>
  <si>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</si>
  <si>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</si>
  <si>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</si>
  <si>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</si>
  <si>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</si>
  <si>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</si>
  <si>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</si>
  <si>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</si>
  <si>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</si>
  <si>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</si>
  <si>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</si>
  <si>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</si>
  <si>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</si>
  <si>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</si>
  <si>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</si>
  <si>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</si>
  <si>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</si>
  <si>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</si>
  <si>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</si>
  <si>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</si>
  <si>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</si>
  <si>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</si>
  <si>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</si>
  <si>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</si>
  <si>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</si>
  <si>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</si>
  <si>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</si>
  <si>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</si>
  <si>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</si>
  <si>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</si>
  <si>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</si>
  <si>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</si>
  <si>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</si>
  <si>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</si>
  <si>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</si>
  <si>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</si>
  <si>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</si>
  <si>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</si>
  <si>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</si>
  <si>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</si>
  <si>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</si>
  <si>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</si>
  <si>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</si>
  <si>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</si>
  <si>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</si>
  <si>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</si>
  <si>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</si>
  <si>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</si>
  <si>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</si>
  <si>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</si>
  <si>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</si>
  <si>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</si>
  <si>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</si>
  <si>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</si>
  <si>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</si>
  <si>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</si>
  <si>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</si>
  <si>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</si>
  <si>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</si>
  <si>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</si>
  <si>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</si>
  <si>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</si>
  <si>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</si>
  <si>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</si>
  <si>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</si>
  <si>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</si>
  <si>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</si>
  <si>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</si>
  <si>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</si>
  <si>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</si>
  <si>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</si>
  <si>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</si>
  <si>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</si>
  <si>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</si>
  <si>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</si>
  <si>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</si>
  <si>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</si>
  <si>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</si>
  <si>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</si>
  <si>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</si>
  <si>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</si>
  <si>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</si>
  <si>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</si>
  <si>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</si>
  <si>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</si>
  <si>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</si>
  <si>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</si>
  <si>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</si>
  <si>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</si>
  <si>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</si>
  <si>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</si>
  <si>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</si>
  <si>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</si>
  <si>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</si>
  <si>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</si>
  <si>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</si>
  <si>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</si>
  <si>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</si>
  <si>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</si>
  <si>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</si>
  <si>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</si>
  <si>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</si>
  <si>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</si>
  <si>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</si>
  <si>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</si>
  <si>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</si>
  <si>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</si>
  <si>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</si>
  <si>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</si>
  <si>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</si>
  <si>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</si>
  <si>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</si>
  <si>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</si>
  <si>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</si>
  <si>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</si>
  <si>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</si>
  <si>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</si>
  <si>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</si>
  <si>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</si>
  <si>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</si>
  <si>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</si>
  <si>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</si>
  <si>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</si>
  <si>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</si>
  <si>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</si>
  <si>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</si>
  <si>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</si>
  <si>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</si>
  <si>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</si>
  <si>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</si>
  <si>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</si>
  <si>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</si>
  <si>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</si>
  <si>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</si>
  <si>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</si>
  <si>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</si>
  <si>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</si>
  <si>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</si>
  <si>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</si>
  <si>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</si>
  <si>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</si>
  <si>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</si>
  <si>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</si>
  <si>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</si>
  <si>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</si>
  <si>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</si>
  <si>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</si>
  <si>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</si>
  <si>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</si>
  <si>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</si>
  <si>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</si>
  <si>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</si>
  <si>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</si>
  <si>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</si>
  <si>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</si>
  <si>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</si>
  <si>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</si>
  <si>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</si>
  <si>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</si>
  <si>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</si>
  <si>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</si>
  <si>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</si>
  <si>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</si>
  <si>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</si>
  <si>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</si>
  <si>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</si>
  <si>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</si>
  <si>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</si>
  <si>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</si>
  <si>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</si>
  <si>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</si>
  <si>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</si>
  <si>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</si>
  <si>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</si>
  <si>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</si>
  <si>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</si>
  <si>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</si>
  <si>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</si>
  <si>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</si>
  <si>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</si>
  <si>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</si>
  <si>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</si>
  <si>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</si>
  <si>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</si>
  <si>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</si>
  <si>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</si>
  <si>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</si>
  <si>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</si>
  <si>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</si>
  <si>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</si>
  <si>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</si>
  <si>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</si>
  <si>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</si>
  <si>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</si>
  <si>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</si>
  <si>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</si>
  <si>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</si>
  <si>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</si>
  <si>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</si>
  <si>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</si>
  <si>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</si>
  <si>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</si>
  <si>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</si>
  <si>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</si>
  <si>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</si>
  <si>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</si>
  <si>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</si>
  <si>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</si>
  <si>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</si>
  <si>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</si>
  <si>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</si>
  <si>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</si>
  <si>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</si>
  <si>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</si>
  <si>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</si>
  <si>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</si>
  <si>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</si>
  <si>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</si>
  <si>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</si>
  <si>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</si>
  <si>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</si>
  <si>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</si>
  <si>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</si>
  <si>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</si>
  <si>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</si>
  <si>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</si>
  <si>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</si>
  <si>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</si>
  <si>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</si>
  <si>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</si>
  <si>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</si>
  <si>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</si>
  <si>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</si>
  <si>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</si>
  <si>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</si>
  <si>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</si>
  <si>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</si>
  <si>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</si>
  <si>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</si>
  <si>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</si>
  <si>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</si>
  <si>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</si>
  <si>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</si>
  <si>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</si>
  <si>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</si>
  <si>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</si>
  <si>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</si>
  <si>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</si>
  <si>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</si>
  <si>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</si>
  <si>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</si>
  <si>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</si>
  <si>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</si>
  <si>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</si>
  <si>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</si>
  <si>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</si>
  <si>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</si>
  <si>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</si>
  <si>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</si>
  <si>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</si>
  <si>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</si>
  <si>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</si>
  <si>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</si>
  <si>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</si>
  <si>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</si>
  <si>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</si>
  <si>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</si>
  <si>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</si>
  <si>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</si>
  <si>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</si>
  <si>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</si>
  <si>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</si>
  <si>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</si>
  <si>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</si>
  <si>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</si>
  <si>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</si>
  <si>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</si>
  <si>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</si>
  <si>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</si>
  <si>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</si>
  <si>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</si>
  <si>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</si>
  <si>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</si>
  <si>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</si>
  <si>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</si>
  <si>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</si>
  <si>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</si>
  <si>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</si>
  <si>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</si>
  <si>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</si>
  <si>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</si>
  <si>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</si>
  <si>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</si>
  <si>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</si>
  <si>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</si>
  <si>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</si>
  <si>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</si>
  <si>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</si>
  <si>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</si>
  <si>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</si>
  <si>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</si>
  <si>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</si>
  <si>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</si>
  <si>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</si>
  <si>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</si>
  <si>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</si>
  <si>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</si>
  <si>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</si>
  <si>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</si>
  <si>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</si>
  <si>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</si>
  <si>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</si>
  <si>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</si>
  <si>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</si>
  <si>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</si>
  <si>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</si>
  <si>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</si>
  <si>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</si>
  <si>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</si>
  <si>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</si>
  <si>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</si>
  <si>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</si>
  <si>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</si>
  <si>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</si>
  <si>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</si>
  <si>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</si>
  <si>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</si>
  <si>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</si>
  <si>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</si>
  <si>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</si>
  <si>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</si>
  <si>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</si>
  <si>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</si>
  <si>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</si>
  <si>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</si>
  <si>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</si>
  <si>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</si>
  <si>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</si>
  <si>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</si>
  <si>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</si>
  <si>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</si>
  <si>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</si>
  <si>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</si>
  <si>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</si>
  <si>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</si>
  <si>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</si>
  <si>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</si>
  <si>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</si>
  <si>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</si>
  <si>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</si>
  <si>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</si>
  <si>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</si>
  <si>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</si>
  <si>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</si>
  <si>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</si>
  <si>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</si>
  <si>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</si>
  <si>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</si>
  <si>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</si>
  <si>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</si>
  <si>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</si>
  <si>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</si>
  <si>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</si>
  <si>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</si>
  <si>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</si>
  <si>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</si>
  <si>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</si>
  <si>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</si>
  <si>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</si>
  <si>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</si>
  <si>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</si>
  <si>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</si>
  <si>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</si>
  <si>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</si>
  <si>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</si>
  <si>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</si>
  <si>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</si>
  <si>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</si>
  <si>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</si>
  <si>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</si>
  <si>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</si>
  <si>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</si>
  <si>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</si>
  <si>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</si>
  <si>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</si>
  <si>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</si>
  <si>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</si>
  <si>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</si>
  <si>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</si>
  <si>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</si>
  <si>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</si>
  <si>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</si>
  <si>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</si>
  <si>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</si>
  <si>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</si>
  <si>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</si>
  <si>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</si>
  <si>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</si>
  <si>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</si>
  <si>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</si>
  <si>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</si>
  <si>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</si>
  <si>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</si>
  <si>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</si>
  <si>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</si>
  <si>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</si>
  <si>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</si>
  <si>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</si>
  <si>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</si>
  <si>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</si>
  <si>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</si>
  <si>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</si>
  <si>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</si>
  <si>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</si>
  <si>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</si>
  <si>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</si>
  <si>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</si>
  <si>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</si>
  <si>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</si>
  <si>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</si>
  <si>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</si>
  <si>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</si>
  <si>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</si>
  <si>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</si>
  <si>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</si>
  <si>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</si>
  <si>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</si>
  <si>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</si>
  <si>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</si>
  <si>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</si>
  <si>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</si>
  <si>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</si>
  <si>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</si>
  <si>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</si>
  <si>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</si>
  <si>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</si>
  <si>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</si>
  <si>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</si>
  <si>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</si>
  <si>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</si>
  <si>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</si>
  <si>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</si>
  <si>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</si>
  <si>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</si>
  <si>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</si>
  <si>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</si>
  <si>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</si>
  <si>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</si>
  <si>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</si>
  <si>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</si>
  <si>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</si>
  <si>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</si>
  <si>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</si>
  <si>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</si>
  <si>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</si>
  <si>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</si>
  <si>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</si>
  <si>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</si>
  <si>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</si>
  <si>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</si>
  <si>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</si>
  <si>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</si>
  <si>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</si>
  <si>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</si>
  <si>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</si>
  <si>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</si>
  <si>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</si>
  <si>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</si>
  <si>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</si>
  <si>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</si>
  <si>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</si>
  <si>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</si>
  <si>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</si>
  <si>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</si>
  <si>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</si>
  <si>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</si>
  <si>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</si>
  <si>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</si>
  <si>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</si>
  <si>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</si>
  <si>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</si>
  <si>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</si>
  <si>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</si>
  <si>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</si>
  <si>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</si>
  <si>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</si>
  <si>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</si>
  <si>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</si>
  <si>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</si>
  <si>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</si>
  <si>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</si>
  <si>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</si>
  <si>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</si>
  <si>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</si>
  <si>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</si>
  <si>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</si>
  <si>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</si>
  <si>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</si>
  <si>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</si>
  <si>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</si>
  <si>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</si>
  <si>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</si>
  <si>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</si>
  <si>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</si>
  <si>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</si>
  <si>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</si>
  <si>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</si>
  <si>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</si>
  <si>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</si>
  <si>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</si>
  <si>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</si>
  <si>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</si>
  <si>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</si>
  <si>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</si>
  <si>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</si>
  <si>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</si>
  <si>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</si>
  <si>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</si>
  <si>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</si>
  <si>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</si>
  <si>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</si>
  <si>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</si>
  <si>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</si>
  <si>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</si>
  <si>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</si>
  <si>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</si>
  <si>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</si>
  <si>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</si>
  <si>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</si>
  <si>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</si>
  <si>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</si>
  <si>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</si>
  <si>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</si>
  <si>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</si>
  <si>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</si>
  <si>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</si>
  <si>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</si>
  <si>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</si>
  <si>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</si>
  <si>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</si>
  <si>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</si>
  <si>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</si>
  <si>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</si>
  <si>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</si>
  <si>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</si>
  <si>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</si>
  <si>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</si>
  <si>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</si>
  <si>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</si>
  <si>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</si>
  <si>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</si>
  <si>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</si>
  <si>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</si>
  <si>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</si>
  <si>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</si>
  <si>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</si>
  <si>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</si>
  <si>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</si>
  <si>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</si>
  <si>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</si>
  <si>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</si>
  <si>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</si>
  <si>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</si>
  <si>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</si>
  <si>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</si>
  <si>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</si>
  <si>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</si>
  <si>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</si>
  <si>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</si>
  <si>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</si>
  <si>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</si>
  <si>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</si>
  <si>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</si>
  <si>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</si>
  <si>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</si>
  <si>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</si>
  <si>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</si>
  <si>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</si>
  <si>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</si>
  <si>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</si>
  <si>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</si>
  <si>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</si>
  <si>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</si>
  <si>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</si>
  <si>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</si>
  <si>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</si>
  <si>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</si>
  <si>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</si>
  <si>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</si>
  <si>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</si>
  <si>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</si>
  <si>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</si>
  <si>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</si>
  <si>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</si>
  <si>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</si>
  <si>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</si>
  <si>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</si>
  <si>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</si>
  <si>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</si>
  <si>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</si>
  <si>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</si>
  <si>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</si>
  <si>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</si>
  <si>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</si>
  <si>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</si>
  <si>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</si>
  <si>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</si>
  <si>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</si>
  <si>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</si>
  <si>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</si>
  <si>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</si>
  <si>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</si>
  <si>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</si>
  <si>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</si>
  <si>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</si>
  <si>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</si>
  <si>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</si>
  <si>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</si>
  <si>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</si>
  <si>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</si>
  <si>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</si>
  <si>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</si>
  <si>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</si>
  <si>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</si>
  <si>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</si>
  <si>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</si>
  <si>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</si>
  <si>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</si>
  <si>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</si>
  <si>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</si>
  <si>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</si>
  <si>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</si>
  <si>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</si>
  <si>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</si>
  <si>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</si>
  <si>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</si>
  <si>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</si>
  <si>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</si>
  <si>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</si>
  <si>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</si>
  <si>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</si>
  <si>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</si>
  <si>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</si>
  <si>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</si>
  <si>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</si>
  <si>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</si>
  <si>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</si>
  <si>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</si>
  <si>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</si>
  <si>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</si>
  <si>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</si>
  <si>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</si>
  <si>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</si>
  <si>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</si>
  <si>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</si>
  <si>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</si>
  <si>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</si>
  <si>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</si>
  <si>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</si>
  <si>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</si>
  <si>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</si>
  <si>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</si>
  <si>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</si>
  <si>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</si>
  <si>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</si>
  <si>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</si>
  <si>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</si>
  <si>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</si>
  <si>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</si>
  <si>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</si>
  <si>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</si>
  <si>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</si>
  <si>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</si>
  <si>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</si>
  <si>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</si>
  <si>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</si>
  <si>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</si>
  <si>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</si>
  <si>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</si>
  <si>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</si>
  <si>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</si>
  <si>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</si>
  <si>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</si>
  <si>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</si>
  <si>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</si>
  <si>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</si>
  <si>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</si>
  <si>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</si>
  <si>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</si>
  <si>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</si>
  <si>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</si>
  <si>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</si>
  <si>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</si>
  <si>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</si>
  <si>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</si>
  <si>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</si>
  <si>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</si>
  <si>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</si>
  <si>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</si>
  <si>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</si>
  <si>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</si>
  <si>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</si>
  <si>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</si>
  <si>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</si>
  <si>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</si>
  <si>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</si>
  <si>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</si>
  <si>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</si>
  <si>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</si>
  <si>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</si>
  <si>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</si>
  <si>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</si>
  <si>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</si>
  <si>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</si>
  <si>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</si>
  <si>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</si>
  <si>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</si>
  <si>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</si>
  <si>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</si>
  <si>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</si>
  <si>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</si>
  <si>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</si>
  <si>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</si>
  <si>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</si>
  <si>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</si>
  <si>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</si>
  <si>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</si>
  <si>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</si>
  <si>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</si>
  <si>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</si>
  <si>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</si>
  <si>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</si>
  <si>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</si>
  <si>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</si>
  <si>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</si>
  <si>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</si>
  <si>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</si>
  <si>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</si>
  <si>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</si>
  <si>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</si>
  <si>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</si>
  <si>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</si>
  <si>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</si>
  <si>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</si>
  <si>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</si>
  <si>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</si>
  <si>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</si>
  <si>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</si>
  <si>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</si>
  <si>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</si>
  <si>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</si>
  <si>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</si>
  <si>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</si>
  <si>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</si>
  <si>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</si>
  <si>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</si>
  <si>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</si>
  <si>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</si>
  <si>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</si>
  <si>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</si>
  <si>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</si>
  <si>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</si>
  <si>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</si>
  <si>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</si>
  <si>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</si>
  <si>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</si>
  <si>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</si>
  <si>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</si>
  <si>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</si>
  <si>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</si>
  <si>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</si>
  <si>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</si>
  <si>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</si>
  <si>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</si>
  <si>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</si>
  <si>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</si>
  <si>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</si>
  <si>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</si>
  <si>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</si>
  <si>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</si>
  <si>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</si>
  <si>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</si>
  <si>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</si>
  <si>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</si>
  <si>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</si>
  <si>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</si>
  <si>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</si>
  <si>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</si>
  <si>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</si>
  <si>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</si>
  <si>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</si>
  <si>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</si>
  <si>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</si>
  <si>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</si>
  <si>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</si>
  <si>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</si>
  <si>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</si>
  <si>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</si>
  <si>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</si>
  <si>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</si>
  <si>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</si>
  <si>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</si>
  <si>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</si>
  <si>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</si>
  <si>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</si>
  <si>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</si>
  <si>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</si>
  <si>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</si>
  <si>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</si>
  <si>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</si>
  <si>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</si>
  <si>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</si>
  <si>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</si>
  <si>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</si>
  <si>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</si>
  <si>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</si>
  <si>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</si>
  <si>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</si>
  <si>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</si>
  <si>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</si>
  <si>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</si>
  <si>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</si>
  <si>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</si>
  <si>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</si>
  <si>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</si>
  <si>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</si>
  <si>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</si>
  <si>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</si>
  <si>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</si>
  <si>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</si>
  <si>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</si>
  <si>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</si>
  <si>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</si>
  <si>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</si>
  <si>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</si>
  <si>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</si>
  <si>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</si>
  <si>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</si>
  <si>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</si>
  <si>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</si>
  <si>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</si>
  <si>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</si>
  <si>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</si>
  <si>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</si>
  <si>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</si>
  <si>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</si>
  <si>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</si>
  <si>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</si>
  <si>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</si>
  <si>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</si>
  <si>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</si>
  <si>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</si>
  <si>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</si>
  <si>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</si>
  <si>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</si>
  <si>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</si>
  <si>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</si>
  <si>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</si>
  <si>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</si>
  <si>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</si>
  <si>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</si>
  <si>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</si>
  <si>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</si>
  <si>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</si>
  <si>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</si>
  <si>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</si>
  <si>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</si>
  <si>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</si>
  <si>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</si>
  <si>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</si>
  <si>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</si>
  <si>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</si>
  <si>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</si>
  <si>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</si>
  <si>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</si>
  <si>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</si>
  <si>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</si>
  <si>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</si>
  <si>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</si>
  <si>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</si>
  <si>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</si>
  <si>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</si>
  <si>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</si>
  <si>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</si>
  <si>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</si>
  <si>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</si>
  <si>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</si>
  <si>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</si>
  <si>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</si>
  <si>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</si>
  <si>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</si>
  <si>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</si>
  <si>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</si>
  <si>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</si>
  <si>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</si>
  <si>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</si>
  <si>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</si>
  <si>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</si>
  <si>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</si>
  <si>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</si>
  <si>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</si>
  <si>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</si>
  <si>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</si>
  <si>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</si>
  <si>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</si>
  <si>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</si>
  <si>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</si>
  <si>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</si>
  <si>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</si>
  <si>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</si>
  <si>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</si>
  <si>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</si>
  <si>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</si>
  <si>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</si>
  <si>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</si>
  <si>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</si>
  <si>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</si>
  <si>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</si>
  <si>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</si>
  <si>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</si>
  <si>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</si>
  <si>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</si>
  <si>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</si>
  <si>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</si>
  <si>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</si>
  <si>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</si>
  <si>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</si>
  <si>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</si>
  <si>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</si>
  <si>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</si>
  <si>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</si>
  <si>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</si>
  <si>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</si>
  <si>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</si>
  <si>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</si>
  <si>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</si>
  <si>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</si>
  <si>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</si>
  <si>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</si>
  <si>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</si>
  <si>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</si>
  <si>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</si>
  <si>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</si>
  <si>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</si>
  <si>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</si>
  <si>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</si>
  <si>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</si>
  <si>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</si>
  <si>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</si>
  <si>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</si>
  <si>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</si>
  <si>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</si>
  <si>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</si>
  <si>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</si>
  <si>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</si>
  <si>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</si>
  <si>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</si>
  <si>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</si>
  <si>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</si>
  <si>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</si>
  <si>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</si>
  <si>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</si>
  <si>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</si>
  <si>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</si>
  <si>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</si>
  <si>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</si>
  <si>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</si>
  <si>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</si>
  <si>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</si>
  <si>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</si>
  <si>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</si>
  <si>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</si>
  <si>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</si>
  <si>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</si>
  <si>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</si>
  <si>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</si>
  <si>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</si>
  <si>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</si>
  <si>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</si>
  <si>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</si>
  <si>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</si>
  <si>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</si>
  <si>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</si>
  <si>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</si>
  <si>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</si>
  <si>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</si>
  <si>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</si>
  <si>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</si>
  <si>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</si>
  <si>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</si>
  <si>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</si>
  <si>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</si>
  <si>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</si>
  <si>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</si>
  <si>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</si>
  <si>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</si>
  <si>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</si>
  <si>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</si>
  <si>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</si>
  <si>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</si>
  <si>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</si>
  <si>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</si>
  <si>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</si>
  <si>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</si>
  <si>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</si>
  <si>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</si>
  <si>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</si>
  <si>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</si>
  <si>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</si>
  <si>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</si>
  <si>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</si>
  <si>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</si>
  <si>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</si>
  <si>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</si>
  <si>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</si>
  <si>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</si>
  <si>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</si>
  <si>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</si>
  <si>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</si>
  <si>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</si>
  <si>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</si>
  <si>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</si>
  <si>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</si>
  <si>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</si>
  <si>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</si>
  <si>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</si>
  <si>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</si>
  <si>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</si>
  <si>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</si>
  <si>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</si>
  <si>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</si>
  <si>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</si>
  <si>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</si>
  <si>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</si>
  <si>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</si>
  <si>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</si>
  <si>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</si>
  <si>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</si>
  <si>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</si>
  <si>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</si>
  <si>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</si>
  <si>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</si>
  <si>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</si>
  <si>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</si>
  <si>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</si>
  <si>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</si>
  <si>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</si>
  <si>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</si>
  <si>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</si>
  <si>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</si>
  <si>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</si>
  <si>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</si>
  <si>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</si>
  <si>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</si>
  <si>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</si>
  <si>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</si>
  <si>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</si>
  <si>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</si>
  <si>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</si>
  <si>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</si>
  <si>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</si>
  <si>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</si>
  <si>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</si>
  <si>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</si>
  <si>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</si>
  <si>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</si>
  <si>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</si>
  <si>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</si>
  <si>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</si>
  <si>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</si>
  <si>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</si>
  <si>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</si>
  <si>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</si>
  <si>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</si>
  <si>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</si>
  <si>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</si>
  <si>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</si>
  <si>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</si>
  <si>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</si>
  <si>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</si>
  <si>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</si>
  <si>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</si>
  <si>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</si>
  <si>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</si>
  <si>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</si>
  <si>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</si>
  <si>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</si>
  <si>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</si>
  <si>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</si>
  <si>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</si>
  <si>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</si>
  <si>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</si>
  <si>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</si>
  <si>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</si>
  <si>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</si>
  <si>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</si>
  <si>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</si>
  <si>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</si>
  <si>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</si>
  <si>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</si>
  <si>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</si>
  <si>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</si>
  <si>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</si>
  <si>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</si>
  <si>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</si>
  <si>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</si>
  <si>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</si>
  <si>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</si>
  <si>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</si>
  <si>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</si>
  <si>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</si>
  <si>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</si>
  <si>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</si>
  <si>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</si>
  <si>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</si>
  <si>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</si>
  <si>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</si>
  <si>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</si>
  <si>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</si>
  <si>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</si>
  <si>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</si>
  <si>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</si>
  <si>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</si>
  <si>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</si>
  <si>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</si>
  <si>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</si>
  <si>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</si>
  <si>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</si>
  <si>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</si>
  <si>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</si>
  <si>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</si>
  <si>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</si>
  <si>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</si>
  <si>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</si>
  <si>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</si>
  <si>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</si>
  <si>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</si>
  <si>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</si>
  <si>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</si>
  <si>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</si>
  <si>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</si>
  <si>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</si>
  <si>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</si>
  <si>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</si>
  <si>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</si>
  <si>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</si>
  <si>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</si>
  <si>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</si>
  <si>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</si>
  <si>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</si>
  <si>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</si>
  <si>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</si>
  <si>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</si>
  <si>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</si>
  <si>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</si>
  <si>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</si>
  <si>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</si>
  <si>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</si>
  <si>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</si>
  <si>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</si>
  <si>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</si>
  <si>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</si>
  <si>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</si>
  <si>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</si>
  <si>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</si>
  <si>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</si>
  <si>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</si>
  <si>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</si>
  <si>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</si>
  <si>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</si>
  <si>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</si>
  <si>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</si>
  <si>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</si>
  <si>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</si>
  <si>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</si>
  <si>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</si>
  <si>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</si>
  <si>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</si>
  <si>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</si>
  <si>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</si>
  <si>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</si>
  <si>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</si>
  <si>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</si>
  <si>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</si>
  <si>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</si>
  <si>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</si>
  <si>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</si>
  <si>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</si>
  <si>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</si>
  <si>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</si>
  <si>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</si>
  <si>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</si>
  <si>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</si>
  <si>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</si>
  <si>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</si>
  <si>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</si>
  <si>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</si>
  <si>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</si>
  <si>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</si>
  <si>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</si>
  <si>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</si>
  <si>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</si>
  <si>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</si>
  <si>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</si>
  <si>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</si>
  <si>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</si>
  <si>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</si>
  <si>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</si>
  <si>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</si>
  <si>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</si>
  <si>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</si>
  <si>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</si>
  <si>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</si>
  <si>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</si>
  <si>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</si>
  <si>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</si>
  <si>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</si>
  <si>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</si>
  <si>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</si>
  <si>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</si>
  <si>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</si>
  <si>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</si>
  <si>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</si>
  <si>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</si>
  <si>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</si>
  <si>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</si>
  <si>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</si>
  <si>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</si>
  <si>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</si>
  <si>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</si>
  <si>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</si>
  <si>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</si>
  <si>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</si>
  <si>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</si>
  <si>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</si>
  <si>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</si>
  <si>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</si>
  <si>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</si>
  <si>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</si>
  <si>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</si>
  <si>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</si>
  <si>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</si>
  <si>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</si>
  <si>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</si>
  <si>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</si>
  <si>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</si>
  <si>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</si>
  <si>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</si>
  <si>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</si>
  <si>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</si>
  <si>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</si>
  <si>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</si>
  <si>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</si>
  <si>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</si>
  <si>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</si>
  <si>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</si>
  <si>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</si>
  <si>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</si>
  <si>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</si>
  <si>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</si>
  <si>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</si>
  <si>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</si>
  <si>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</si>
  <si>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</si>
  <si>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</si>
  <si>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</si>
  <si>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</si>
  <si>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</si>
  <si>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</si>
  <si>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</si>
  <si>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</si>
  <si>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</si>
  <si>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</si>
  <si>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</si>
  <si>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</si>
  <si>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</si>
  <si>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</si>
  <si>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</si>
  <si>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</si>
  <si>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</si>
  <si>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</si>
  <si>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</si>
  <si>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</si>
  <si>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</si>
  <si>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</si>
  <si>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</si>
  <si>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</si>
  <si>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</si>
  <si>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</si>
  <si>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</si>
  <si>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</si>
  <si>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</si>
  <si>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</si>
  <si>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</si>
  <si>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</si>
  <si>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</si>
  <si>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</si>
  <si>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</si>
  <si>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</si>
  <si>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</si>
  <si>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</si>
  <si>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</si>
  <si>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</si>
  <si>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</si>
  <si>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</si>
  <si>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</si>
  <si>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</si>
  <si>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</si>
  <si>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</si>
  <si>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</si>
  <si>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</si>
  <si>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</si>
  <si>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</si>
  <si>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</si>
  <si>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</si>
  <si>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</si>
  <si>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</si>
  <si>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</si>
  <si>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</si>
  <si>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</si>
  <si>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</si>
  <si>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</si>
  <si>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</si>
  <si>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</si>
  <si>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</si>
  <si>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</si>
  <si>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</si>
  <si>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</si>
  <si>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100%</t>
  </si>
  <si>
    <t>Yes</t>
    <phoneticPr fontId="102" type="noConversion"/>
  </si>
  <si>
    <t>Heraeus Ltd.Hong Kong</t>
  </si>
  <si>
    <r>
      <rPr>
        <sz val="10"/>
        <rFont val="Verdana"/>
        <family val="2"/>
      </rPr>
      <t>T</t>
    </r>
    <r>
      <rPr>
        <sz val="10"/>
        <rFont val="Verdana"/>
        <family val="2"/>
      </rPr>
      <t>anaka Electronics Singapore Pte.LTD</t>
    </r>
  </si>
  <si>
    <t>Metalor Technologies (Hong Kong) Ltd.</t>
    <phoneticPr fontId="102" type="noConversion"/>
  </si>
  <si>
    <t>Shandong Gold Smelting Co., Ltd.</t>
    <phoneticPr fontId="102" type="noConversion"/>
  </si>
  <si>
    <t>China Tin Group Co., Ltd.</t>
    <phoneticPr fontId="102" type="noConversion"/>
  </si>
  <si>
    <t>云南乘风有色金属有限公司</t>
  </si>
  <si>
    <t>Malaysia Smelting Corporation Berhad</t>
  </si>
  <si>
    <t>Tin Smelting Branch of Yunnan Tin Co., Ltd.</t>
    <phoneticPr fontId="102" type="noConversion"/>
  </si>
  <si>
    <t>Minsur</t>
    <phoneticPr fontId="102" type="noConversion"/>
  </si>
  <si>
    <t>EM Vinto</t>
    <phoneticPr fontId="102" type="noConversion"/>
  </si>
  <si>
    <t>PT Timah Tbk Mentok</t>
    <phoneticPr fontId="102" type="noConversion"/>
  </si>
  <si>
    <t>10 Promenade de St-Antoine
P.O Box 3470</t>
  </si>
  <si>
    <t>30 ON CHUEN STREET</t>
  </si>
  <si>
    <r>
      <rPr>
        <sz val="10"/>
        <rFont val="Verdana"/>
        <family val="2"/>
      </rPr>
      <t>J</t>
    </r>
    <r>
      <rPr>
        <sz val="10"/>
        <rFont val="Verdana"/>
        <family val="2"/>
      </rPr>
      <t>APAN</t>
    </r>
  </si>
  <si>
    <t>Jalan Raya Timah Mentok 33312</t>
  </si>
  <si>
    <t>大屯街道红土坡</t>
  </si>
  <si>
    <t>27, JALAN PANTAI, 12700</t>
  </si>
  <si>
    <t>#1 Yelian Road</t>
  </si>
  <si>
    <t>Jr Giovanni Batista Lorenzo Bernini Nº 149 interior 501 San Borja - Lima</t>
  </si>
  <si>
    <t>Daniela Ragnoli</t>
  </si>
  <si>
    <t>info@pamp.com</t>
  </si>
  <si>
    <t>UNKOWN</t>
  </si>
  <si>
    <t>Lung Chak Yeung</t>
  </si>
  <si>
    <t>chakyeung.lung@heraeus.com</t>
  </si>
  <si>
    <t>No suggestion</t>
  </si>
  <si>
    <r>
      <rPr>
        <sz val="10"/>
        <rFont val="Verdana"/>
        <family val="2"/>
      </rPr>
      <t>Y</t>
    </r>
    <r>
      <rPr>
        <sz val="10"/>
        <rFont val="Verdana"/>
        <family val="2"/>
      </rPr>
      <t>ANGCHANGSHUN</t>
    </r>
  </si>
  <si>
    <r>
      <rPr>
        <sz val="10"/>
        <rFont val="Verdana"/>
        <family val="2"/>
      </rPr>
      <t>7</t>
    </r>
    <r>
      <rPr>
        <sz val="10"/>
        <rFont val="Verdana"/>
        <family val="2"/>
      </rPr>
      <t>792137@.COM</t>
    </r>
  </si>
  <si>
    <r>
      <rPr>
        <sz val="10"/>
        <rFont val="Verdana"/>
        <family val="2"/>
      </rPr>
      <t>N</t>
    </r>
    <r>
      <rPr>
        <sz val="10"/>
        <rFont val="Verdana"/>
        <family val="2"/>
      </rPr>
      <t>A</t>
    </r>
  </si>
  <si>
    <t>Jin Chi Ling Gold Mine</t>
  </si>
  <si>
    <t>白先生</t>
    <phoneticPr fontId="102" type="noConversion"/>
  </si>
  <si>
    <t xml:space="preserve">DUOXING@163.COM </t>
    <phoneticPr fontId="102" type="noConversion"/>
  </si>
  <si>
    <t>Mr. Abdul Kamaroes</t>
  </si>
  <si>
    <t>akamaroes@pttimah.co.id</t>
  </si>
  <si>
    <t>http://www.responsiblemineralsinitiative.org/tin-conformant-smelters/                     Conflict-Free Smelter Audit Review Committee (ARC) reviewed.</t>
  </si>
  <si>
    <t>Bangka &amp; Belitung Mines</t>
  </si>
  <si>
    <t>吴俊杰</t>
  </si>
  <si>
    <t>13424212981@163.com</t>
  </si>
  <si>
    <t xml:space="preserve">Raveentiran a/l Krishnan </t>
  </si>
  <si>
    <t>raveentiran.krishnan@msmelt.com</t>
  </si>
  <si>
    <t>owened by Malaysia Smelting Corporation Berhad</t>
  </si>
  <si>
    <t>Ms.Susan</t>
  </si>
  <si>
    <t>susan.tan@yuntanic.com.hk</t>
  </si>
  <si>
    <t>owened by CHINA</t>
  </si>
  <si>
    <t>Ivo Serkovic Gomez</t>
  </si>
  <si>
    <t>ivo.serkovic@minsur.com</t>
  </si>
  <si>
    <t>our supplier has been audited by LBMA.</t>
  </si>
  <si>
    <t xml:space="preserve"> China </t>
  </si>
  <si>
    <t>Indonesia</t>
  </si>
  <si>
    <t>Yes,Compliant with the RMI Program Supply Chain  Smelter</t>
  </si>
  <si>
    <t>Peru</t>
  </si>
  <si>
    <t>886-2-2827-6798</t>
    <phoneticPr fontId="102" type="noConversion"/>
  </si>
  <si>
    <t>No. 36, Lane 243, Zun Sian Street,Bei Tou , Taipei 11275, Taiwan</t>
    <phoneticPr fontId="102" type="noConversion"/>
  </si>
  <si>
    <t>allenkj.yeh@msa.hinet.net</t>
    <phoneticPr fontId="102" type="noConversion"/>
  </si>
  <si>
    <t>Raven</t>
    <phoneticPr fontId="102" type="noConversion"/>
  </si>
  <si>
    <t>Allen Yeh</t>
    <phoneticPr fontId="102" type="noConversion"/>
  </si>
  <si>
    <t>allenkj.yeh@msa.hinet.net</t>
    <phoneticPr fontId="102" type="noConversion"/>
  </si>
  <si>
    <t>886-2-28203786</t>
    <phoneticPr fontId="102" type="noConversion"/>
  </si>
  <si>
    <t>www.allenkj.com.tw</t>
    <phoneticPr fontId="102" type="noConversion"/>
  </si>
  <si>
    <t>ALLEN CREATIONS CORP.</t>
    <phoneticPr fontId="102" type="noConversion"/>
  </si>
  <si>
    <t>Modular Jack series</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</si>
</sst>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4">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7"/>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3" fillId="0" borderId="48" xfId="0" applyFont="1" applyBorder="1" applyAlignment="1" applyProtection="1">
      <alignment horizontal="left" vertical="center" wrapText="1"/>
      <protection locked="0"/>
    </xf>
    <xf numFmtId="0" fontId="0" fillId="0" borderId="68" xfId="0" applyBorder="1" applyAlignment="1" applyProtection="1">
      <alignment vertical="center" wrapText="1"/>
      <protection locked="0"/>
    </xf>
    <xf numFmtId="0" fontId="0" fillId="0" borderId="69" xfId="0" applyBorder="1" applyAlignment="1" applyProtection="1">
      <alignmen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108">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allenkj.com.tw/"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allenkj.yeh@msa.hinet.net" TargetMode="External"/><Relationship Id="rId4" Type="http://schemas.openxmlformats.org/officeDocument/2006/relationships/hyperlink" Target="mailto:allenkj.yeh@msa.hinet.ne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11"/>
      <c r="B2" s="5" t="s">
        <v>818</v>
      </c>
      <c r="C2" s="3"/>
      <c r="D2" s="175"/>
      <c r="E2" s="3"/>
      <c r="F2" s="3"/>
      <c r="G2" s="25"/>
    </row>
    <row r="3" spans="1:7">
      <c r="A3" s="311"/>
      <c r="B3" s="3" t="s">
        <v>811</v>
      </c>
      <c r="C3" s="5"/>
      <c r="D3" s="176"/>
      <c r="E3" s="3"/>
      <c r="F3" s="5"/>
      <c r="G3" s="25"/>
    </row>
    <row r="4" spans="1:7" ht="15">
      <c r="A4" s="311"/>
      <c r="B4" s="30" t="s">
        <v>820</v>
      </c>
      <c r="C4" s="6"/>
      <c r="D4" s="177"/>
      <c r="E4" s="3"/>
      <c r="F4" s="6"/>
      <c r="G4" s="25"/>
    </row>
    <row r="5" spans="1:7" ht="13.2">
      <c r="A5" s="311"/>
      <c r="B5" s="29" t="s">
        <v>1009</v>
      </c>
      <c r="C5" s="4"/>
      <c r="D5" s="178"/>
      <c r="E5" s="3"/>
      <c r="F5" s="4"/>
      <c r="G5" s="25"/>
    </row>
    <row r="6" spans="1:7">
      <c r="A6" s="311"/>
      <c r="B6" s="3"/>
      <c r="C6" s="3"/>
      <c r="D6" s="175"/>
      <c r="E6" s="3"/>
      <c r="F6" s="3"/>
      <c r="G6" s="25"/>
    </row>
    <row r="7" spans="1:7">
      <c r="A7" s="311"/>
      <c r="B7" s="3"/>
      <c r="C7" s="3"/>
      <c r="D7" s="175"/>
      <c r="E7" s="3"/>
      <c r="F7" s="3"/>
      <c r="G7" s="25"/>
    </row>
    <row r="8" spans="1:7">
      <c r="A8" s="311"/>
      <c r="B8" s="3"/>
      <c r="C8" s="3"/>
      <c r="D8" s="175"/>
      <c r="E8" s="3"/>
      <c r="F8" s="3"/>
      <c r="G8" s="25"/>
    </row>
    <row r="9" spans="1:7">
      <c r="A9" s="311"/>
      <c r="B9" s="314" t="s">
        <v>821</v>
      </c>
      <c r="C9" s="314"/>
      <c r="D9" s="314"/>
      <c r="E9" s="314"/>
      <c r="F9" s="314"/>
      <c r="G9" s="25"/>
    </row>
    <row r="10" spans="1:7" ht="27" customHeight="1">
      <c r="A10" s="311"/>
      <c r="B10" s="315" t="s">
        <v>425</v>
      </c>
      <c r="C10" s="315"/>
      <c r="D10" s="315"/>
      <c r="E10" s="315"/>
      <c r="F10" s="315"/>
      <c r="G10" s="25"/>
    </row>
    <row r="11" spans="1:7" ht="27" customHeight="1">
      <c r="A11" s="311"/>
      <c r="B11" s="316"/>
      <c r="C11" s="316"/>
      <c r="D11" s="316"/>
      <c r="E11" s="316"/>
      <c r="F11" s="316"/>
      <c r="G11" s="25"/>
    </row>
    <row r="12" spans="1:7">
      <c r="A12" s="311"/>
      <c r="B12" s="31" t="s">
        <v>819</v>
      </c>
      <c r="C12" s="32" t="s">
        <v>822</v>
      </c>
      <c r="D12" s="179" t="s">
        <v>823</v>
      </c>
      <c r="E12" s="32" t="s">
        <v>595</v>
      </c>
      <c r="F12" s="32" t="s">
        <v>596</v>
      </c>
      <c r="G12" s="25"/>
    </row>
    <row r="13" spans="1:7" ht="20.399999999999999">
      <c r="A13" s="311"/>
      <c r="B13" s="2">
        <v>1</v>
      </c>
      <c r="C13" s="27" t="s">
        <v>1057</v>
      </c>
      <c r="D13" s="28" t="s">
        <v>847</v>
      </c>
      <c r="E13" s="163" t="s">
        <v>824</v>
      </c>
      <c r="F13" s="163"/>
      <c r="G13" s="25"/>
    </row>
    <row r="14" spans="1:7" ht="30.6">
      <c r="A14" s="311"/>
      <c r="B14" s="2">
        <v>2</v>
      </c>
      <c r="C14" s="27" t="s">
        <v>1057</v>
      </c>
      <c r="D14" s="28" t="s">
        <v>994</v>
      </c>
      <c r="E14" s="163" t="s">
        <v>515</v>
      </c>
      <c r="F14" s="163" t="s">
        <v>516</v>
      </c>
      <c r="G14" s="25"/>
    </row>
    <row r="15" spans="1:7" ht="89.1" customHeight="1">
      <c r="A15" s="311"/>
      <c r="B15" s="296">
        <v>2.0099999999999998</v>
      </c>
      <c r="C15" s="308" t="s">
        <v>1057</v>
      </c>
      <c r="D15" s="317" t="s">
        <v>2198</v>
      </c>
      <c r="E15" s="164" t="s">
        <v>597</v>
      </c>
      <c r="F15" s="164" t="s">
        <v>600</v>
      </c>
      <c r="G15" s="25"/>
    </row>
    <row r="16" spans="1:7" ht="99" customHeight="1">
      <c r="A16" s="311"/>
      <c r="B16" s="297"/>
      <c r="C16" s="309"/>
      <c r="D16" s="318"/>
      <c r="E16" s="165"/>
      <c r="F16" s="165" t="s">
        <v>598</v>
      </c>
      <c r="G16" s="25"/>
    </row>
    <row r="17" spans="1:7" ht="63" customHeight="1">
      <c r="A17" s="311"/>
      <c r="B17" s="298"/>
      <c r="C17" s="310"/>
      <c r="D17" s="319"/>
      <c r="E17" s="27"/>
      <c r="F17" s="27" t="s">
        <v>599</v>
      </c>
      <c r="G17" s="25"/>
    </row>
    <row r="18" spans="1:7" ht="117" customHeight="1">
      <c r="A18" s="311"/>
      <c r="B18" s="296">
        <v>2.02</v>
      </c>
      <c r="C18" s="308" t="s">
        <v>1057</v>
      </c>
      <c r="D18" s="317" t="s">
        <v>2199</v>
      </c>
      <c r="E18" s="164" t="s">
        <v>426</v>
      </c>
      <c r="F18" s="164" t="s">
        <v>510</v>
      </c>
      <c r="G18" s="25"/>
    </row>
    <row r="19" spans="1:7" ht="71.099999999999994" customHeight="1">
      <c r="A19" s="311"/>
      <c r="B19" s="297"/>
      <c r="C19" s="309"/>
      <c r="D19" s="318"/>
      <c r="E19" s="165" t="s">
        <v>514</v>
      </c>
      <c r="F19" s="165" t="s">
        <v>427</v>
      </c>
      <c r="G19" s="25"/>
    </row>
    <row r="20" spans="1:7" ht="90.75" customHeight="1">
      <c r="A20" s="311"/>
      <c r="B20" s="297"/>
      <c r="C20" s="309"/>
      <c r="D20" s="318"/>
      <c r="E20" s="165"/>
      <c r="F20" s="165" t="s">
        <v>602</v>
      </c>
      <c r="G20" s="25"/>
    </row>
    <row r="21" spans="1:7" ht="74.25" customHeight="1">
      <c r="A21" s="311"/>
      <c r="B21" s="298"/>
      <c r="C21" s="310"/>
      <c r="D21" s="319"/>
      <c r="E21" s="27"/>
      <c r="F21" s="27" t="s">
        <v>601</v>
      </c>
      <c r="G21" s="25"/>
    </row>
    <row r="22" spans="1:7" ht="90" customHeight="1">
      <c r="A22" s="311"/>
      <c r="B22" s="302">
        <v>2.0299999999999998</v>
      </c>
      <c r="C22" s="302" t="s">
        <v>794</v>
      </c>
      <c r="D22" s="305" t="s">
        <v>2200</v>
      </c>
      <c r="E22" s="308" t="s">
        <v>424</v>
      </c>
      <c r="F22" s="164" t="s">
        <v>447</v>
      </c>
      <c r="G22" s="25"/>
    </row>
    <row r="23" spans="1:7" ht="109.5" customHeight="1">
      <c r="A23" s="311"/>
      <c r="B23" s="303"/>
      <c r="C23" s="303"/>
      <c r="D23" s="306"/>
      <c r="E23" s="309"/>
      <c r="F23" s="165" t="s">
        <v>795</v>
      </c>
      <c r="G23" s="25"/>
    </row>
    <row r="24" spans="1:7" ht="74.25" customHeight="1">
      <c r="A24" s="311"/>
      <c r="B24" s="304"/>
      <c r="C24" s="304"/>
      <c r="D24" s="307"/>
      <c r="E24" s="310"/>
      <c r="F24" s="27" t="s">
        <v>423</v>
      </c>
      <c r="G24" s="25"/>
    </row>
    <row r="25" spans="1:7" ht="72" customHeight="1">
      <c r="A25" s="311"/>
      <c r="B25" s="2" t="s">
        <v>445</v>
      </c>
      <c r="C25" s="27" t="s">
        <v>446</v>
      </c>
      <c r="D25" s="28" t="s">
        <v>2201</v>
      </c>
      <c r="E25" s="27" t="s">
        <v>2196</v>
      </c>
      <c r="F25" s="27" t="s">
        <v>448</v>
      </c>
      <c r="G25" s="25"/>
    </row>
    <row r="26" spans="1:7" ht="98.1" customHeight="1">
      <c r="A26" s="311"/>
      <c r="B26" s="299">
        <v>3</v>
      </c>
      <c r="C26" s="296" t="s">
        <v>66</v>
      </c>
      <c r="D26" s="317" t="s">
        <v>2202</v>
      </c>
      <c r="E26" s="308" t="s">
        <v>0</v>
      </c>
      <c r="F26" s="164" t="s">
        <v>60</v>
      </c>
      <c r="G26" s="25"/>
    </row>
    <row r="27" spans="1:7" ht="90" customHeight="1">
      <c r="A27" s="311"/>
      <c r="B27" s="300"/>
      <c r="C27" s="297"/>
      <c r="D27" s="318"/>
      <c r="E27" s="309"/>
      <c r="F27" s="165" t="s">
        <v>55</v>
      </c>
      <c r="G27" s="25"/>
    </row>
    <row r="28" spans="1:7" ht="19.350000000000001" customHeight="1">
      <c r="A28" s="311"/>
      <c r="B28" s="300"/>
      <c r="C28" s="297"/>
      <c r="D28" s="318"/>
      <c r="E28" s="309"/>
      <c r="F28" s="165" t="s">
        <v>56</v>
      </c>
      <c r="G28" s="25"/>
    </row>
    <row r="29" spans="1:7" ht="74.400000000000006" customHeight="1">
      <c r="A29" s="311"/>
      <c r="B29" s="300"/>
      <c r="C29" s="297"/>
      <c r="D29" s="318"/>
      <c r="E29" s="309"/>
      <c r="F29" s="165" t="s">
        <v>57</v>
      </c>
      <c r="G29" s="25"/>
    </row>
    <row r="30" spans="1:7" ht="62.4" customHeight="1">
      <c r="A30" s="311"/>
      <c r="B30" s="300"/>
      <c r="C30" s="297"/>
      <c r="D30" s="318"/>
      <c r="E30" s="309"/>
      <c r="F30" s="165" t="s">
        <v>58</v>
      </c>
      <c r="G30" s="25"/>
    </row>
    <row r="31" spans="1:7" ht="81" customHeight="1">
      <c r="A31" s="311"/>
      <c r="B31" s="300"/>
      <c r="C31" s="297"/>
      <c r="D31" s="318"/>
      <c r="E31" s="309"/>
      <c r="F31" s="165" t="s">
        <v>59</v>
      </c>
      <c r="G31" s="25"/>
    </row>
    <row r="32" spans="1:7" ht="48.75" customHeight="1">
      <c r="A32" s="311"/>
      <c r="B32" s="300"/>
      <c r="C32" s="297"/>
      <c r="D32" s="318"/>
      <c r="E32" s="309"/>
      <c r="F32" s="165" t="s">
        <v>62</v>
      </c>
      <c r="G32" s="25"/>
    </row>
    <row r="33" spans="1:7" ht="98.4" customHeight="1">
      <c r="A33" s="311"/>
      <c r="B33" s="300"/>
      <c r="C33" s="297"/>
      <c r="D33" s="318"/>
      <c r="E33" s="309"/>
      <c r="F33" s="165" t="s">
        <v>61</v>
      </c>
      <c r="G33" s="25"/>
    </row>
    <row r="34" spans="1:7" ht="89.1" customHeight="1">
      <c r="A34" s="311"/>
      <c r="B34" s="300"/>
      <c r="C34" s="297"/>
      <c r="D34" s="318"/>
      <c r="E34" s="309"/>
      <c r="F34" s="165" t="s">
        <v>63</v>
      </c>
      <c r="G34" s="25"/>
    </row>
    <row r="35" spans="1:7" ht="29.1" customHeight="1">
      <c r="A35" s="311"/>
      <c r="B35" s="300"/>
      <c r="C35" s="297"/>
      <c r="D35" s="318"/>
      <c r="E35" s="309"/>
      <c r="F35" s="165" t="s">
        <v>64</v>
      </c>
      <c r="G35" s="25"/>
    </row>
    <row r="36" spans="1:7" ht="112.2">
      <c r="A36" s="311"/>
      <c r="B36" s="301"/>
      <c r="C36" s="298"/>
      <c r="D36" s="319"/>
      <c r="E36" s="310"/>
      <c r="F36" s="166" t="s">
        <v>65</v>
      </c>
      <c r="G36" s="25"/>
    </row>
    <row r="37" spans="1:7" ht="102">
      <c r="A37" s="311"/>
      <c r="B37" s="141">
        <v>3.01</v>
      </c>
      <c r="C37" s="142" t="s">
        <v>66</v>
      </c>
      <c r="D37" s="28" t="s">
        <v>2203</v>
      </c>
      <c r="E37" s="167" t="s">
        <v>1294</v>
      </c>
      <c r="F37" s="168" t="s">
        <v>1396</v>
      </c>
      <c r="G37" s="25"/>
    </row>
    <row r="38" spans="1:7" ht="81.599999999999994">
      <c r="A38" s="311"/>
      <c r="B38" s="141">
        <v>3.02</v>
      </c>
      <c r="C38" s="142" t="s">
        <v>1326</v>
      </c>
      <c r="D38" s="28" t="s">
        <v>2204</v>
      </c>
      <c r="E38" s="167" t="s">
        <v>1341</v>
      </c>
      <c r="F38" s="168" t="s">
        <v>1397</v>
      </c>
      <c r="G38" s="25"/>
    </row>
    <row r="39" spans="1:7" ht="81.599999999999994">
      <c r="A39" s="311"/>
      <c r="B39" s="150">
        <v>4</v>
      </c>
      <c r="C39" s="149" t="s">
        <v>1492</v>
      </c>
      <c r="D39" s="28" t="s">
        <v>2205</v>
      </c>
      <c r="E39" s="27" t="s">
        <v>2151</v>
      </c>
      <c r="F39" s="27" t="s">
        <v>1493</v>
      </c>
      <c r="G39" s="25"/>
    </row>
    <row r="40" spans="1:7" ht="40.799999999999997">
      <c r="A40" s="311"/>
      <c r="B40" s="141">
        <v>4.01</v>
      </c>
      <c r="C40" s="149" t="s">
        <v>1492</v>
      </c>
      <c r="D40" s="28" t="s">
        <v>2207</v>
      </c>
      <c r="E40" s="27" t="s">
        <v>2163</v>
      </c>
      <c r="F40" s="27" t="s">
        <v>2167</v>
      </c>
      <c r="G40" s="25"/>
    </row>
    <row r="41" spans="1:7" ht="40.799999999999997">
      <c r="A41" s="311"/>
      <c r="B41" s="141" t="s">
        <v>2194</v>
      </c>
      <c r="C41" s="149" t="s">
        <v>1492</v>
      </c>
      <c r="D41" s="28" t="s">
        <v>2206</v>
      </c>
      <c r="E41" s="27" t="s">
        <v>2197</v>
      </c>
      <c r="F41" s="27" t="s">
        <v>2195</v>
      </c>
      <c r="G41" s="25"/>
    </row>
    <row r="42" spans="1:7" ht="40.799999999999997">
      <c r="A42" s="311"/>
      <c r="B42" s="141" t="s">
        <v>2228</v>
      </c>
      <c r="C42" s="149" t="s">
        <v>1492</v>
      </c>
      <c r="D42" s="28" t="s">
        <v>2233</v>
      </c>
      <c r="E42" s="27" t="s">
        <v>2196</v>
      </c>
      <c r="F42" s="27" t="s">
        <v>2229</v>
      </c>
      <c r="G42" s="25"/>
    </row>
    <row r="43" spans="1:7" ht="112.2">
      <c r="A43" s="311"/>
      <c r="B43" s="160">
        <v>4.0999999999999996</v>
      </c>
      <c r="C43" s="149" t="s">
        <v>2232</v>
      </c>
      <c r="D43" s="161">
        <v>42867</v>
      </c>
      <c r="E43" s="169" t="s">
        <v>2235</v>
      </c>
      <c r="F43" s="27" t="s">
        <v>2234</v>
      </c>
      <c r="G43" s="25"/>
    </row>
    <row r="44" spans="1:7" ht="71.400000000000006">
      <c r="A44" s="311"/>
      <c r="B44" s="160">
        <v>4.2</v>
      </c>
      <c r="C44" s="149" t="s">
        <v>2232</v>
      </c>
      <c r="D44" s="161">
        <v>42704</v>
      </c>
      <c r="E44" s="169" t="s">
        <v>2431</v>
      </c>
      <c r="F44" s="27" t="s">
        <v>2406</v>
      </c>
      <c r="G44" s="25"/>
    </row>
    <row r="45" spans="1:7" ht="132.6">
      <c r="A45" s="311"/>
      <c r="B45" s="202">
        <v>5</v>
      </c>
      <c r="C45" s="149" t="s">
        <v>2232</v>
      </c>
      <c r="D45" s="161">
        <v>42867</v>
      </c>
      <c r="E45" s="169" t="s">
        <v>12652</v>
      </c>
      <c r="F45" s="27" t="s">
        <v>12374</v>
      </c>
      <c r="G45" s="25"/>
    </row>
    <row r="46" spans="1:7" ht="30.6">
      <c r="A46" s="311"/>
      <c r="B46" s="160">
        <v>5.01</v>
      </c>
      <c r="C46" s="149" t="s">
        <v>2232</v>
      </c>
      <c r="D46" s="161">
        <v>42907</v>
      </c>
      <c r="E46" s="169" t="s">
        <v>15329</v>
      </c>
      <c r="F46" s="27" t="s">
        <v>12374</v>
      </c>
      <c r="G46" s="25"/>
    </row>
    <row r="47" spans="1:7" ht="61.2">
      <c r="A47" s="311"/>
      <c r="B47" s="160">
        <v>5.0999999999999996</v>
      </c>
      <c r="C47" s="149" t="s">
        <v>2232</v>
      </c>
      <c r="D47" s="161">
        <v>43070</v>
      </c>
      <c r="E47" s="169" t="s">
        <v>12862</v>
      </c>
      <c r="F47" s="27" t="s">
        <v>12863</v>
      </c>
      <c r="G47" s="25"/>
    </row>
    <row r="48" spans="1:7" ht="51">
      <c r="A48" s="311"/>
      <c r="B48" s="160">
        <v>5.1100000000000003</v>
      </c>
      <c r="C48" s="149" t="s">
        <v>13097</v>
      </c>
      <c r="D48" s="161">
        <v>43217</v>
      </c>
      <c r="E48" s="169" t="s">
        <v>13199</v>
      </c>
      <c r="F48" s="27" t="s">
        <v>13124</v>
      </c>
      <c r="G48" s="25"/>
    </row>
    <row r="49" spans="1:7" ht="51">
      <c r="A49" s="311"/>
      <c r="B49" s="160">
        <v>5.12</v>
      </c>
      <c r="C49" s="149" t="s">
        <v>13097</v>
      </c>
      <c r="D49" s="161">
        <v>43581</v>
      </c>
      <c r="E49" s="169" t="s">
        <v>13199</v>
      </c>
      <c r="F49" s="27" t="s">
        <v>13741</v>
      </c>
      <c r="G49" s="25"/>
    </row>
    <row r="50" spans="1:7" ht="71.400000000000006">
      <c r="A50" s="311"/>
      <c r="B50" s="202">
        <v>6</v>
      </c>
      <c r="C50" s="149" t="s">
        <v>13097</v>
      </c>
      <c r="D50" s="161">
        <v>43964</v>
      </c>
      <c r="E50" s="169" t="s">
        <v>13953</v>
      </c>
      <c r="F50" s="27" t="s">
        <v>13744</v>
      </c>
      <c r="G50" s="25"/>
    </row>
    <row r="51" spans="1:7" ht="40.799999999999997">
      <c r="A51" s="311"/>
      <c r="B51" s="160">
        <v>6.01</v>
      </c>
      <c r="C51" s="149" t="s">
        <v>13097</v>
      </c>
      <c r="D51" s="161">
        <v>43970</v>
      </c>
      <c r="E51" s="169" t="s">
        <v>15330</v>
      </c>
      <c r="F51" s="169" t="s">
        <v>13744</v>
      </c>
      <c r="G51" s="25"/>
    </row>
    <row r="52" spans="1:7" ht="40.799999999999997">
      <c r="A52" s="311"/>
      <c r="B52" s="160">
        <v>6.1</v>
      </c>
      <c r="C52" s="149" t="s">
        <v>13097</v>
      </c>
      <c r="D52" s="161">
        <v>44314</v>
      </c>
      <c r="E52" s="169" t="s">
        <v>15323</v>
      </c>
      <c r="F52" s="169" t="s">
        <v>14913</v>
      </c>
      <c r="G52" s="25"/>
    </row>
    <row r="53" spans="1:7" ht="40.799999999999997">
      <c r="A53" s="311"/>
      <c r="B53" s="160">
        <v>6.2</v>
      </c>
      <c r="C53" s="149" t="s">
        <v>13097</v>
      </c>
      <c r="D53" s="161">
        <v>44678</v>
      </c>
      <c r="E53" s="169" t="s">
        <v>15323</v>
      </c>
      <c r="F53" s="169" t="s">
        <v>15322</v>
      </c>
      <c r="G53" s="25"/>
    </row>
    <row r="54" spans="1:7" ht="40.799999999999997">
      <c r="A54" s="311"/>
      <c r="B54" s="160">
        <v>6.21</v>
      </c>
      <c r="C54" s="149" t="s">
        <v>13097</v>
      </c>
      <c r="D54" s="161">
        <v>44687</v>
      </c>
      <c r="E54" s="169" t="s">
        <v>15331</v>
      </c>
      <c r="F54" s="169" t="s">
        <v>15322</v>
      </c>
      <c r="G54" s="25"/>
    </row>
    <row r="55" spans="1:7" ht="40.799999999999997">
      <c r="A55" s="311"/>
      <c r="B55" s="160">
        <v>6.22</v>
      </c>
      <c r="C55" s="149" t="s">
        <v>13097</v>
      </c>
      <c r="D55" s="275">
        <v>44692</v>
      </c>
      <c r="E55" s="169" t="s">
        <v>15330</v>
      </c>
      <c r="F55" s="169" t="s">
        <v>15322</v>
      </c>
      <c r="G55" s="25"/>
    </row>
    <row r="56" spans="1:7" ht="51">
      <c r="A56" s="311"/>
      <c r="B56" s="202">
        <v>6.3</v>
      </c>
      <c r="C56" s="149" t="s">
        <v>13097</v>
      </c>
      <c r="D56" s="275">
        <v>45051</v>
      </c>
      <c r="E56" s="169" t="s">
        <v>15590</v>
      </c>
      <c r="F56" s="169" t="s">
        <v>15371</v>
      </c>
      <c r="G56" s="25"/>
    </row>
    <row r="57" spans="1:7" ht="40.799999999999997">
      <c r="A57" s="311"/>
      <c r="B57" s="160">
        <v>6.31</v>
      </c>
      <c r="C57" s="149" t="s">
        <v>13097</v>
      </c>
      <c r="D57" s="275">
        <v>45072</v>
      </c>
      <c r="E57" s="169" t="s">
        <v>15592</v>
      </c>
      <c r="F57" s="169" t="s">
        <v>15371</v>
      </c>
      <c r="G57" s="25"/>
    </row>
    <row r="58" spans="1:7" ht="40.5" customHeight="1">
      <c r="A58" s="311"/>
      <c r="B58" s="202">
        <v>6.4</v>
      </c>
      <c r="C58" s="149" t="s">
        <v>13097</v>
      </c>
      <c r="D58" s="275">
        <v>45408</v>
      </c>
      <c r="E58" s="169" t="s">
        <v>15594</v>
      </c>
      <c r="F58" s="169" t="s">
        <v>15593</v>
      </c>
      <c r="G58" s="25"/>
    </row>
    <row r="59" spans="1:7" ht="32.4" customHeight="1">
      <c r="A59" s="311"/>
      <c r="B59" s="202">
        <v>6.5</v>
      </c>
      <c r="C59" s="149" t="s">
        <v>13097</v>
      </c>
      <c r="D59" s="275">
        <v>45772</v>
      </c>
      <c r="E59" s="169" t="s">
        <v>15669</v>
      </c>
      <c r="F59" s="169" t="s">
        <v>15720</v>
      </c>
      <c r="G59" s="25"/>
    </row>
    <row r="60" spans="1:7" ht="13.2" thickBot="1">
      <c r="A60" s="312"/>
      <c r="B60" s="313" t="str">
        <f ca="1">OFFSET(L!$C$1,MATCH("General"&amp;"Cpy",L!$A:$A,0)-1,SL,,)</f>
        <v>© 2025 Responsible Minerals Initiative. All rights reserved.</v>
      </c>
      <c r="C60" s="313"/>
      <c r="D60" s="313"/>
      <c r="E60" s="313"/>
      <c r="F60" s="313"/>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80" zoomScaleNormal="8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3.9" customHeight="1">
      <c r="A3" s="74"/>
      <c r="B3" s="63" t="str">
        <f ca="1">OFFSET(L!$C$1,MATCH("Definitions"&amp;ADDRESS(ROW(),COLUMN(),4),L!$A:$A,0)-1,SL,,)</f>
        <v>3TG</v>
      </c>
      <c r="C3" s="63" t="str">
        <f ca="1">OFFSET(L!$C$1,MATCH("Definitions"&amp;ADDRESS(ROW(),COLUMN(),4),L!$A:$A,0)-1,SL,,)</f>
        <v>Tantalum, tin, tungsten, gold</v>
      </c>
      <c r="D3" s="32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1279</v>
      </c>
    </row>
    <row r="10" spans="1:5" ht="48.6">
      <c r="A10" s="74"/>
      <c r="B10" s="63" t="str">
        <f ca="1">OFFSET(L!$C$1,MATCH("Definitions"&amp;ADDRESS(ROW(),COLUMN(),4),L!$A:$A,0)-1,SL,,)</f>
        <v>DRC</v>
      </c>
      <c r="C10" s="63" t="str">
        <f ca="1">OFFSET(L!$C$1,MATCH("Definitions"&amp;ADDRESS(ROW(),COLUMN(),4),L!$A:$A,0)-1,SL,,)</f>
        <v>Democratic Republic of Congo</v>
      </c>
      <c r="D10" s="324"/>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4"/>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6.2">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4"/>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4"/>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4"/>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4"/>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4"/>
      <c r="E31" s="100"/>
    </row>
    <row r="32" spans="1:5" ht="16.2">
      <c r="A32" s="74"/>
      <c r="B32" s="323" t="str">
        <f ca="1">OFFSET(L!$C$1,MATCH("General"&amp;"Cpy",L!$A:$A,0)-1,SL,,)</f>
        <v>© 2025 Responsible Minerals Initiative. All rights reserved.</v>
      </c>
      <c r="C32" s="323"/>
      <c r="D32" s="324"/>
      <c r="E32" s="100"/>
    </row>
    <row r="33" spans="1:4" ht="13.2" thickBot="1">
      <c r="A33" s="75"/>
      <c r="B33" s="153"/>
      <c r="C33" s="153"/>
      <c r="D33" s="325"/>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B88" zoomScaleNormal="100" zoomScalePageLayoutView="70" workbookViewId="0">
      <selection activeCell="D14" sqref="D14:J14"/>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35"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3"/>
      <c r="G3" s="373"/>
      <c r="H3" s="373"/>
      <c r="I3" s="152"/>
      <c r="J3" s="138" t="s">
        <v>15733</v>
      </c>
      <c r="K3" s="36"/>
      <c r="L3" s="100"/>
      <c r="P3" s="45">
        <f>MATCH($D$3,LN,0)</f>
        <v>1</v>
      </c>
    </row>
    <row r="4" spans="1:34" ht="16.2">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430</v>
      </c>
      <c r="P6" s="3"/>
      <c r="Q6" s="3"/>
      <c r="R6" s="3"/>
      <c r="S6" s="3"/>
      <c r="T6" s="3"/>
      <c r="U6" s="3"/>
      <c r="V6" s="3"/>
      <c r="W6" s="3"/>
      <c r="X6" s="3"/>
      <c r="Y6" s="3"/>
      <c r="Z6" s="3"/>
      <c r="AA6" s="3"/>
      <c r="AB6" s="3"/>
      <c r="AC6" s="3"/>
      <c r="AD6" s="3"/>
      <c r="AE6" s="3"/>
      <c r="AF6" s="3"/>
      <c r="AG6" s="3"/>
      <c r="AH6" s="3"/>
    </row>
    <row r="7" spans="1:34" ht="36.9"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66" t="s">
        <v>15877</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5" t="s">
        <v>481</v>
      </c>
      <c r="E9" s="376"/>
      <c r="F9" s="376"/>
      <c r="G9" s="377"/>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9" t="str">
        <f ca="1">OFFSET(L!$C$1,MATCH("Declaration"&amp;ADDRESS(ROW(),COLUMN(),4)&amp;LEFT($D$9,1),L!$A:$A,0)-1,SL,,)</f>
        <v>Description of Scope:</v>
      </c>
      <c r="C10" s="122"/>
      <c r="D10" s="370"/>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6.2">
      <c r="A11" s="38"/>
      <c r="B11" s="380"/>
      <c r="C11" s="122"/>
      <c r="D11" s="345" t="str">
        <f ca="1">IF(D9=Q9,OFFSET(L!$C$1,MATCH("Declaration"&amp;ADDRESS(ROW(),COLUMN(),4),L!$A:$A,0)-1,SL,,),"")</f>
        <v/>
      </c>
      <c r="E11" s="346"/>
      <c r="F11" s="346"/>
      <c r="G11" s="346"/>
      <c r="H11" s="346"/>
      <c r="I11" s="346"/>
      <c r="J11" s="347"/>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3"/>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3"/>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3" t="s">
        <v>15870</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26" t="s">
        <v>15872</v>
      </c>
      <c r="E15" s="327"/>
      <c r="F15" s="327"/>
      <c r="G15" s="327"/>
      <c r="H15" s="327"/>
      <c r="I15" s="327"/>
      <c r="J15" s="328"/>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81" t="s">
        <v>15871</v>
      </c>
      <c r="E16" s="382"/>
      <c r="F16" s="382"/>
      <c r="G16" s="382"/>
      <c r="H16" s="382"/>
      <c r="I16" s="382"/>
      <c r="J16" s="383"/>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3" t="s">
        <v>15869</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6" t="s">
        <v>15873</v>
      </c>
      <c r="E18" s="327"/>
      <c r="F18" s="327"/>
      <c r="G18" s="327"/>
      <c r="H18" s="327"/>
      <c r="I18" s="327"/>
      <c r="J18" s="32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3"/>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81" t="s">
        <v>15874</v>
      </c>
      <c r="E20" s="382"/>
      <c r="F20" s="382"/>
      <c r="G20" s="382"/>
      <c r="H20" s="382"/>
      <c r="I20" s="382"/>
      <c r="J20" s="383"/>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53" t="s">
        <v>15875</v>
      </c>
      <c r="E21" s="354"/>
      <c r="F21" s="354"/>
      <c r="G21" s="354"/>
      <c r="H21" s="354"/>
      <c r="I21" s="354"/>
      <c r="J21" s="35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45805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9" t="s">
        <v>476</v>
      </c>
      <c r="E26" s="330"/>
      <c r="F26" s="12"/>
      <c r="G26" s="331"/>
      <c r="H26" s="332"/>
      <c r="I26" s="332"/>
      <c r="J26" s="333"/>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9" t="s">
        <v>475</v>
      </c>
      <c r="E27" s="330"/>
      <c r="F27" s="12"/>
      <c r="G27" s="331"/>
      <c r="H27" s="332"/>
      <c r="I27" s="332"/>
      <c r="J27" s="333"/>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9" t="s">
        <v>475</v>
      </c>
      <c r="E28" s="330"/>
      <c r="F28" s="12"/>
      <c r="G28" s="331"/>
      <c r="H28" s="332"/>
      <c r="I28" s="332"/>
      <c r="J28" s="333"/>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9" t="s">
        <v>476</v>
      </c>
      <c r="E29" s="330"/>
      <c r="F29" s="12"/>
      <c r="G29" s="331"/>
      <c r="H29" s="332"/>
      <c r="I29" s="332"/>
      <c r="J29" s="333"/>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8" t="str">
        <f ca="1">D25</f>
        <v>Answer</v>
      </c>
      <c r="E31" s="338"/>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8"/>
      <c r="E32" s="349"/>
      <c r="F32" s="47"/>
      <c r="G32" s="331"/>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9" t="s">
        <v>475</v>
      </c>
      <c r="E33" s="330"/>
      <c r="F33" s="47"/>
      <c r="G33" s="331"/>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9" t="s">
        <v>475</v>
      </c>
      <c r="E34" s="330"/>
      <c r="F34" s="47"/>
      <c r="G34" s="331"/>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9"/>
      <c r="E35" s="330"/>
      <c r="F35" s="47"/>
      <c r="G35" s="331"/>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8" t="str">
        <f ca="1">D25</f>
        <v>Answer</v>
      </c>
      <c r="E37" s="338"/>
      <c r="F37" s="18"/>
      <c r="G37" s="44" t="str">
        <f ca="1">G25</f>
        <v>Comments</v>
      </c>
      <c r="H37" s="352"/>
      <c r="I37" s="352"/>
      <c r="J37" s="352"/>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9"/>
      <c r="E38" s="330"/>
      <c r="F38" s="47"/>
      <c r="G38" s="331"/>
      <c r="H38" s="332"/>
      <c r="I38" s="332"/>
      <c r="J38" s="333"/>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9" t="s">
        <v>476</v>
      </c>
      <c r="E39" s="330"/>
      <c r="F39" s="47"/>
      <c r="G39" s="331"/>
      <c r="H39" s="332"/>
      <c r="I39" s="332"/>
      <c r="J39" s="333"/>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9" t="s">
        <v>476</v>
      </c>
      <c r="E40" s="330"/>
      <c r="F40" s="47"/>
      <c r="G40" s="331"/>
      <c r="H40" s="332"/>
      <c r="I40" s="332"/>
      <c r="J40" s="333"/>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9"/>
      <c r="E41" s="330"/>
      <c r="F41" s="47"/>
      <c r="G41" s="331"/>
      <c r="H41" s="332"/>
      <c r="I41" s="332"/>
      <c r="J41" s="333"/>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8" t="str">
        <f ca="1">D25</f>
        <v>Answer</v>
      </c>
      <c r="E43" s="33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9"/>
      <c r="E44" s="330"/>
      <c r="F44" s="47"/>
      <c r="G44" s="331"/>
      <c r="H44" s="332"/>
      <c r="I44" s="332"/>
      <c r="J44" s="33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476</v>
      </c>
      <c r="E45" s="330"/>
      <c r="F45" s="47"/>
      <c r="G45" s="331"/>
      <c r="H45" s="332"/>
      <c r="I45" s="332"/>
      <c r="J45" s="33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476</v>
      </c>
      <c r="E46" s="330"/>
      <c r="F46" s="47"/>
      <c r="G46" s="331"/>
      <c r="H46" s="332"/>
      <c r="I46" s="332"/>
      <c r="J46" s="33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9"/>
      <c r="E47" s="330"/>
      <c r="F47" s="47"/>
      <c r="G47" s="331"/>
      <c r="H47" s="332"/>
      <c r="I47" s="332"/>
      <c r="J47" s="33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8" t="str">
        <f ca="1">D25</f>
        <v>Answer</v>
      </c>
      <c r="E49" s="338"/>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9"/>
      <c r="E50" s="330"/>
      <c r="F50" s="47"/>
      <c r="G50" s="331"/>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9" t="s">
        <v>476</v>
      </c>
      <c r="E51" s="330"/>
      <c r="F51" s="47"/>
      <c r="G51" s="331"/>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9" t="s">
        <v>476</v>
      </c>
      <c r="E52" s="330"/>
      <c r="F52" s="47"/>
      <c r="G52" s="331"/>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9"/>
      <c r="E53" s="330"/>
      <c r="F53" s="47"/>
      <c r="G53" s="331"/>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8" t="str">
        <f ca="1">D25</f>
        <v>Answer</v>
      </c>
      <c r="E55" s="338"/>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50"/>
      <c r="E56" s="351"/>
      <c r="F56" s="47"/>
      <c r="G56" s="331"/>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50" t="s">
        <v>15817</v>
      </c>
      <c r="E57" s="351"/>
      <c r="F57" s="47"/>
      <c r="G57" s="331"/>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50" t="s">
        <v>15817</v>
      </c>
      <c r="E58" s="351"/>
      <c r="F58" s="47"/>
      <c r="G58" s="331"/>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50"/>
      <c r="E59" s="351"/>
      <c r="F59" s="47"/>
      <c r="G59" s="331"/>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8" t="str">
        <f ca="1">D25</f>
        <v>Answer</v>
      </c>
      <c r="E61" s="338"/>
      <c r="F61" s="18"/>
      <c r="G61" s="44" t="str">
        <f ca="1">G25</f>
        <v>Comments</v>
      </c>
      <c r="H61" s="335"/>
      <c r="I61" s="335"/>
      <c r="J61" s="335"/>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8"/>
      <c r="E62" s="349"/>
      <c r="F62" s="47"/>
      <c r="G62" s="331"/>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9" t="s">
        <v>475</v>
      </c>
      <c r="E63" s="330"/>
      <c r="F63" s="47"/>
      <c r="G63" s="331"/>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9" t="s">
        <v>475</v>
      </c>
      <c r="E64" s="330"/>
      <c r="F64" s="47"/>
      <c r="G64" s="331"/>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9"/>
      <c r="E65" s="330"/>
      <c r="F65" s="47"/>
      <c r="G65" s="331"/>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8" t="str">
        <f ca="1">D25</f>
        <v>Answer</v>
      </c>
      <c r="E67" s="338"/>
      <c r="F67" s="18"/>
      <c r="G67" s="44" t="str">
        <f ca="1">G25</f>
        <v>Comments</v>
      </c>
      <c r="H67" s="335" t="str">
        <f>IF(Q75="(*)","Click here to enter smelter names","")</f>
        <v/>
      </c>
      <c r="I67" s="335"/>
      <c r="J67" s="335"/>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9"/>
      <c r="E68" s="330"/>
      <c r="F68" s="48"/>
      <c r="G68" s="331"/>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9" t="s">
        <v>475</v>
      </c>
      <c r="E69" s="330"/>
      <c r="F69" s="48"/>
      <c r="G69" s="331"/>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9" t="s">
        <v>475</v>
      </c>
      <c r="E70" s="330"/>
      <c r="F70" s="48"/>
      <c r="G70" s="331"/>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9"/>
      <c r="E71" s="330"/>
      <c r="F71" s="50"/>
      <c r="G71" s="331"/>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4" t="str">
        <f ca="1">OFFSET(L!$C$1,MATCH("Declaration"&amp;ADDRESS(ROW(),COLUMN(),4),L!$A:$A,0)-1,SL,,)</f>
        <v>Answer the Following Questions at a Company Level</v>
      </c>
      <c r="C73" s="334"/>
      <c r="D73" s="334"/>
      <c r="E73" s="334"/>
      <c r="F73" s="334"/>
      <c r="G73" s="334"/>
      <c r="H73" s="334"/>
      <c r="I73" s="334"/>
      <c r="J73" s="334"/>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9" t="s">
        <v>15818</v>
      </c>
      <c r="E75" s="330"/>
      <c r="F75" s="57"/>
      <c r="G75" s="331"/>
      <c r="H75" s="332"/>
      <c r="I75" s="332"/>
      <c r="J75" s="333"/>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7"/>
      <c r="H76" s="337"/>
      <c r="I76" s="337"/>
      <c r="J76" s="33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15818</v>
      </c>
      <c r="E77" s="330"/>
      <c r="F77" s="57"/>
      <c r="G77" s="357" t="s">
        <v>15876</v>
      </c>
      <c r="H77" s="358"/>
      <c r="I77" s="358"/>
      <c r="J77" s="359"/>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15818</v>
      </c>
      <c r="E79" s="330"/>
      <c r="F79" s="57"/>
      <c r="G79" s="331"/>
      <c r="H79" s="332"/>
      <c r="I79" s="332"/>
      <c r="J79" s="333"/>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15818</v>
      </c>
      <c r="E81" s="330"/>
      <c r="F81" s="57"/>
      <c r="G81" s="331"/>
      <c r="H81" s="332"/>
      <c r="I81" s="332"/>
      <c r="J81" s="333"/>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14853</v>
      </c>
      <c r="E83" s="330"/>
      <c r="F83" s="57"/>
      <c r="G83" s="331"/>
      <c r="H83" s="332"/>
      <c r="I83" s="332"/>
      <c r="J83" s="333"/>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2" t="s">
        <v>475</v>
      </c>
      <c r="E85" s="343"/>
      <c r="F85" s="57"/>
      <c r="G85" s="331"/>
      <c r="H85" s="332"/>
      <c r="I85" s="332"/>
      <c r="J85" s="333"/>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7"/>
      <c r="H86" s="337"/>
      <c r="I86" s="337"/>
      <c r="J86" s="33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42" t="s">
        <v>475</v>
      </c>
      <c r="E87" s="343"/>
      <c r="F87" s="57"/>
      <c r="G87" s="331"/>
      <c r="H87" s="332"/>
      <c r="I87" s="332"/>
      <c r="J87" s="333"/>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4"/>
      <c r="H88" s="344"/>
      <c r="I88" s="344"/>
      <c r="J88" s="34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9" t="s">
        <v>476</v>
      </c>
      <c r="E89" s="330"/>
      <c r="F89" s="57"/>
      <c r="G89" s="331"/>
      <c r="H89" s="332"/>
      <c r="I89" s="332"/>
      <c r="J89" s="333"/>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41" t="str">
        <f>IF(OR($D$8="",$I$3=""),"","Click here to check required fields completion")</f>
        <v/>
      </c>
      <c r="C90" s="341"/>
      <c r="D90" s="341"/>
      <c r="E90" s="341"/>
      <c r="F90" s="341"/>
      <c r="G90" s="341"/>
      <c r="H90" s="341"/>
      <c r="I90" s="341"/>
      <c r="J90" s="341"/>
      <c r="K90" s="36"/>
      <c r="L90" s="100"/>
      <c r="P90" s="3"/>
      <c r="Q90" s="3"/>
      <c r="R90" s="3"/>
      <c r="S90" s="3"/>
      <c r="T90" s="3"/>
      <c r="U90" s="3"/>
      <c r="V90" s="3"/>
      <c r="W90" s="3"/>
      <c r="X90" s="3"/>
      <c r="Y90" s="3"/>
      <c r="Z90" s="3"/>
      <c r="AA90" s="3"/>
      <c r="AB90" s="3"/>
      <c r="AC90" s="3"/>
      <c r="AD90" s="3"/>
      <c r="AE90" s="3"/>
      <c r="AF90" s="3"/>
      <c r="AG90" s="3"/>
      <c r="AH90" s="3"/>
    </row>
    <row r="91" spans="1:34" ht="16.8" thickBot="1">
      <c r="A91" s="339" t="str">
        <f ca="1">OFFSET(L!$C$1,MATCH("General"&amp;"Cpy",L!$A:$A,0)-1,SL,,)</f>
        <v>© 2025 Responsible Minerals Initiative. All rights reserved.</v>
      </c>
      <c r="B91" s="340"/>
      <c r="C91" s="340"/>
      <c r="D91" s="340"/>
      <c r="E91" s="340"/>
      <c r="F91" s="340"/>
      <c r="G91" s="340"/>
      <c r="H91" s="340"/>
      <c r="I91" s="340"/>
      <c r="J91" s="34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83">
    <cfRule type="expression" dxfId="107" priority="8" stopIfTrue="1">
      <formula>AND(OR($D$26="No",AND($D$26="Yes",$D$32="No")),OR($D$27="No",AND($D$27="Yes",$D$33="No")),OR($D$28="No",AND($D$28="Yes",$D$34="No")),OR($D$29="No",AND($D$29="Yes",$D$35="No")))</formula>
    </cfRule>
    <cfRule type="expression" dxfId="106" priority="9" stopIfTrue="1">
      <formula>IF(D83="",TRUE)</formula>
    </cfRule>
  </conditionalFormatting>
  <conditionalFormatting sqref="D22:E22">
    <cfRule type="expression" dxfId="105" priority="227" stopIfTrue="1">
      <formula>IF($D$22="",TRUE)</formula>
    </cfRule>
  </conditionalFormatting>
  <conditionalFormatting sqref="D26:E26">
    <cfRule type="expression" dxfId="104" priority="58" stopIfTrue="1">
      <formula>IF($D$26="",TRUE)</formula>
    </cfRule>
  </conditionalFormatting>
  <conditionalFormatting sqref="D27:E27">
    <cfRule type="expression" dxfId="103" priority="59" stopIfTrue="1">
      <formula>IF($D$27="",TRUE)</formula>
    </cfRule>
  </conditionalFormatting>
  <conditionalFormatting sqref="D28:E28">
    <cfRule type="expression" dxfId="102" priority="60" stopIfTrue="1">
      <formula>IF($D$28="",TRUE)</formula>
    </cfRule>
  </conditionalFormatting>
  <conditionalFormatting sqref="D29:E29">
    <cfRule type="expression" dxfId="101" priority="61" stopIfTrue="1">
      <formula>IF($D$29="",TRUE)</formula>
    </cfRule>
  </conditionalFormatting>
  <conditionalFormatting sqref="D32:E32">
    <cfRule type="expression" dxfId="100" priority="123" stopIfTrue="1">
      <formula>IF(AND(OR($D$26="Yes",$D$26=""),$D$32=""),1,0)</formula>
    </cfRule>
    <cfRule type="expression" dxfId="99" priority="210" stopIfTrue="1">
      <formula>$P$26=""</formula>
    </cfRule>
  </conditionalFormatting>
  <conditionalFormatting sqref="D33:E33">
    <cfRule type="expression" dxfId="98" priority="56" stopIfTrue="1">
      <formula>IF(AND(OR($D$27="Yes",$D$27=""),$D$33=""),1,0)</formula>
    </cfRule>
    <cfRule type="expression" dxfId="97" priority="57" stopIfTrue="1">
      <formula>$P$27=""</formula>
    </cfRule>
  </conditionalFormatting>
  <conditionalFormatting sqref="D34:E34">
    <cfRule type="expression" dxfId="96" priority="54" stopIfTrue="1">
      <formula>IF(AND(OR($D$28="Yes",$D$28=""),$D$34=""),1,0)</formula>
    </cfRule>
    <cfRule type="expression" dxfId="95" priority="55" stopIfTrue="1">
      <formula>$P$28=""</formula>
    </cfRule>
  </conditionalFormatting>
  <conditionalFormatting sqref="D35:E35">
    <cfRule type="expression" dxfId="94" priority="107" stopIfTrue="1">
      <formula>IF(AND(OR($D$29="Yes",$D$29=""),$D$35=""),1,0)</formula>
    </cfRule>
    <cfRule type="expression" dxfId="93" priority="231" stopIfTrue="1">
      <formula>$P$29=""</formula>
    </cfRule>
  </conditionalFormatting>
  <conditionalFormatting sqref="D38:E38 D44:E44 D50:E50 D56:E56 D62:E62 D68:E68">
    <cfRule type="expression" dxfId="92" priority="86" stopIfTrue="1">
      <formula>$P$26=""</formula>
    </cfRule>
    <cfRule type="expression" dxfId="91" priority="87" stopIfTrue="1">
      <formula>$P$32=""</formula>
    </cfRule>
  </conditionalFormatting>
  <conditionalFormatting sqref="D38:E38">
    <cfRule type="expression" dxfId="90" priority="122" stopIfTrue="1">
      <formula>IF(AND(OR($D$26="Yes",$D$26=""),OR($D$32="Yes",$D$32=""),D38=""),1,0)</formula>
    </cfRule>
  </conditionalFormatting>
  <conditionalFormatting sqref="D39:E39">
    <cfRule type="expression" dxfId="89" priority="50" stopIfTrue="1">
      <formula>$P$33=""</formula>
    </cfRule>
    <cfRule type="expression" dxfId="88" priority="51" stopIfTrue="1">
      <formula>$P$39=""</formula>
    </cfRule>
    <cfRule type="expression" dxfId="87" priority="53" stopIfTrue="1">
      <formula>IF(AND(OR($D$27="Yes",$D$27=""),OR($D$33="Yes",$D$33=""),D39=""),1,0)</formula>
    </cfRule>
  </conditionalFormatting>
  <conditionalFormatting sqref="D40:E40">
    <cfRule type="expression" dxfId="86" priority="48" stopIfTrue="1">
      <formula>$P$28=""</formula>
    </cfRule>
    <cfRule type="expression" dxfId="85" priority="49" stopIfTrue="1">
      <formula>$P$34=""</formula>
    </cfRule>
    <cfRule type="expression" dxfId="84" priority="52" stopIfTrue="1">
      <formula>IF(AND(OR($D$28="Yes",$D$28=""),OR($D$34="Yes",$D$34=""),D40=""),1,0)</formula>
    </cfRule>
  </conditionalFormatting>
  <conditionalFormatting sqref="D41:E41 D47:E47 D53:E53 D59:E59 D65:E65 D71:E71">
    <cfRule type="expression" dxfId="83" priority="71" stopIfTrue="1">
      <formula>$P$29=""</formula>
    </cfRule>
    <cfRule type="expression" dxfId="82" priority="72" stopIfTrue="1">
      <formula>$P$35=""</formula>
    </cfRule>
  </conditionalFormatting>
  <conditionalFormatting sqref="D41:E41">
    <cfRule type="expression" dxfId="81" priority="233" stopIfTrue="1">
      <formula>IF(AND(OR($D$29="Yes",$D$29=""),OR($D$35="Yes",$D$35=""),D41=""),1,0)</formula>
    </cfRule>
  </conditionalFormatting>
  <conditionalFormatting sqref="D44:E44">
    <cfRule type="expression" dxfId="80" priority="121" stopIfTrue="1">
      <formula>IF(AND(OR($D$26="Yes",$D$26=""),OR($D$32="Yes",$D$32=""),D44=""),1,0)</formula>
    </cfRule>
  </conditionalFormatting>
  <conditionalFormatting sqref="D45:E45">
    <cfRule type="expression" dxfId="79" priority="44" stopIfTrue="1">
      <formula>$P$33=""</formula>
    </cfRule>
    <cfRule type="expression" dxfId="78" priority="45" stopIfTrue="1">
      <formula>$P$39=""</formula>
    </cfRule>
    <cfRule type="expression" dxfId="77" priority="47" stopIfTrue="1">
      <formula>IF(AND(OR($D$27="Yes",$D$27=""),OR($D$33="Yes",$D$33=""),D45=""),1,0)</formula>
    </cfRule>
  </conditionalFormatting>
  <conditionalFormatting sqref="D46:E46">
    <cfRule type="expression" dxfId="76" priority="42" stopIfTrue="1">
      <formula>$P$28=""</formula>
    </cfRule>
    <cfRule type="expression" dxfId="75" priority="43" stopIfTrue="1">
      <formula>$P$34=""</formula>
    </cfRule>
    <cfRule type="expression" dxfId="74" priority="46" stopIfTrue="1">
      <formula>IF(AND(OR($D$28="Yes",$D$28=""),OR($D$34="Yes",$D$34=""),D46=""),1,0)</formula>
    </cfRule>
  </conditionalFormatting>
  <conditionalFormatting sqref="D47:E47">
    <cfRule type="expression" dxfId="73" priority="116" stopIfTrue="1">
      <formula>IF(AND(OR($D$29="Yes",$D$29=""),OR($D$35="Yes",$D$35=""),D47=""),1,0)</formula>
    </cfRule>
  </conditionalFormatting>
  <conditionalFormatting sqref="D50:E50">
    <cfRule type="expression" dxfId="72" priority="89" stopIfTrue="1">
      <formula>IF(AND(OR($D$26="Yes",$D$26=""),OR($D$32="Yes",$D$32=""),D50=""),1,0)</formula>
    </cfRule>
  </conditionalFormatting>
  <conditionalFormatting sqref="D51:E51">
    <cfRule type="expression" dxfId="71" priority="38" stopIfTrue="1">
      <formula>$P$33=""</formula>
    </cfRule>
    <cfRule type="expression" dxfId="70" priority="39" stopIfTrue="1">
      <formula>$P$39=""</formula>
    </cfRule>
    <cfRule type="expression" dxfId="69" priority="41" stopIfTrue="1">
      <formula>IF(AND(OR($D$27="Yes",$D$27=""),OR($D$33="Yes",$D$33=""),D51=""),1,0)</formula>
    </cfRule>
  </conditionalFormatting>
  <conditionalFormatting sqref="D52:E52">
    <cfRule type="expression" dxfId="68" priority="36" stopIfTrue="1">
      <formula>$P$28=""</formula>
    </cfRule>
    <cfRule type="expression" dxfId="67" priority="37" stopIfTrue="1">
      <formula>$P$34=""</formula>
    </cfRule>
    <cfRule type="expression" dxfId="66" priority="40" stopIfTrue="1">
      <formula>IF(AND(OR($D$28="Yes",$D$28=""),OR($D$34="Yes",$D$34=""),D52=""),1,0)</formula>
    </cfRule>
  </conditionalFormatting>
  <conditionalFormatting sqref="D53:E53">
    <cfRule type="expression" dxfId="65" priority="102" stopIfTrue="1">
      <formula>IF(AND(OR($D$29="Yes",$D$29=""),OR($D$35="Yes",$D$35=""),D53=""),1,0)</formula>
    </cfRule>
  </conditionalFormatting>
  <conditionalFormatting sqref="D56:E56">
    <cfRule type="expression" dxfId="64" priority="97" stopIfTrue="1">
      <formula>IF(AND(OR($D$26="Yes",$D$26=""),OR($D$32="Yes",$D$32=""),D56=""),1,0)</formula>
    </cfRule>
  </conditionalFormatting>
  <conditionalFormatting sqref="D57:E57">
    <cfRule type="expression" dxfId="63" priority="33" stopIfTrue="1">
      <formula>$P$33=""</formula>
    </cfRule>
    <cfRule type="expression" dxfId="62" priority="34" stopIfTrue="1">
      <formula>$P$39=""</formula>
    </cfRule>
    <cfRule type="expression" dxfId="61" priority="35" stopIfTrue="1">
      <formula>IF(AND(OR($D$27="Yes",$D$27=""),OR($D$33="Yes",$D$33=""),D57=""),1,0)</formula>
    </cfRule>
  </conditionalFormatting>
  <conditionalFormatting sqref="D58:E58">
    <cfRule type="expression" dxfId="60" priority="30" stopIfTrue="1">
      <formula>$P$28=""</formula>
    </cfRule>
    <cfRule type="expression" dxfId="59" priority="31" stopIfTrue="1">
      <formula>$P$34=""</formula>
    </cfRule>
    <cfRule type="expression" dxfId="58" priority="32" stopIfTrue="1">
      <formula>IF(AND(OR($D$28="Yes",$D$28=""),OR($D$34="Yes",$D$34=""),D58=""),1,0)</formula>
    </cfRule>
  </conditionalFormatting>
  <conditionalFormatting sqref="D59:E59">
    <cfRule type="expression" dxfId="57" priority="74" stopIfTrue="1">
      <formula>IF(AND(OR($D$29="Yes",$D$29=""),OR($D$35="Yes",$D$35=""),D59=""),1,0)</formula>
    </cfRule>
  </conditionalFormatting>
  <conditionalFormatting sqref="D62:E62">
    <cfRule type="expression" dxfId="56" priority="96" stopIfTrue="1">
      <formula>IF(AND(OR($D$26="Yes",$D$26=""),OR($D$32="Yes",$D$32=""),D62=""),1,0)</formula>
    </cfRule>
  </conditionalFormatting>
  <conditionalFormatting sqref="D63:E63">
    <cfRule type="expression" dxfId="55" priority="27" stopIfTrue="1">
      <formula>$P$33=""</formula>
    </cfRule>
    <cfRule type="expression" dxfId="54" priority="28" stopIfTrue="1">
      <formula>$P$39=""</formula>
    </cfRule>
    <cfRule type="expression" dxfId="53" priority="29" stopIfTrue="1">
      <formula>IF(AND(OR($D$27="Yes",$D$27=""),OR($D$33="Yes",$D$33=""),D63=""),1,0)</formula>
    </cfRule>
  </conditionalFormatting>
  <conditionalFormatting sqref="D64:E64">
    <cfRule type="expression" dxfId="52" priority="24" stopIfTrue="1">
      <formula>$P$28=""</formula>
    </cfRule>
    <cfRule type="expression" dxfId="51" priority="25" stopIfTrue="1">
      <formula>$P$34=""</formula>
    </cfRule>
    <cfRule type="expression" dxfId="50" priority="26" stopIfTrue="1">
      <formula>IF(AND(OR($D$28="Yes",$D$28=""),OR($D$34="Yes",$D$34=""),D64=""),1,0)</formula>
    </cfRule>
  </conditionalFormatting>
  <conditionalFormatting sqref="D65:E65">
    <cfRule type="expression" dxfId="49" priority="73" stopIfTrue="1">
      <formula>IF(AND(OR($D$29="Yes",$D$29=""),OR($D$35="Yes",$D$35=""),D65=""),1,0)</formula>
    </cfRule>
  </conditionalFormatting>
  <conditionalFormatting sqref="D68:E68">
    <cfRule type="expression" dxfId="48" priority="88" stopIfTrue="1">
      <formula>IF(AND(OR($D$26="Yes",$D$26=""),OR($D$32="Yes",$D$32=""),D68=""),1,0)</formula>
    </cfRule>
  </conditionalFormatting>
  <conditionalFormatting sqref="D69:E69">
    <cfRule type="expression" dxfId="47" priority="21" stopIfTrue="1">
      <formula>$P$33=""</formula>
    </cfRule>
    <cfRule type="expression" dxfId="46" priority="22" stopIfTrue="1">
      <formula>$P$39=""</formula>
    </cfRule>
    <cfRule type="expression" dxfId="45" priority="23" stopIfTrue="1">
      <formula>IF(AND(OR($D$27="Yes",$D$27=""),OR($D$33="Yes",$D$33=""),D69=""),1,0)</formula>
    </cfRule>
  </conditionalFormatting>
  <conditionalFormatting sqref="D70:E70">
    <cfRule type="expression" dxfId="44" priority="18" stopIfTrue="1">
      <formula>$P$28=""</formula>
    </cfRule>
    <cfRule type="expression" dxfId="43" priority="19" stopIfTrue="1">
      <formula>$P$34=""</formula>
    </cfRule>
    <cfRule type="expression" dxfId="42" priority="20" stopIfTrue="1">
      <formula>IF(AND(OR($D$28="Yes",$D$28=""),OR($D$34="Yes",$D$34=""),D70=""),1,0)</formula>
    </cfRule>
  </conditionalFormatting>
  <conditionalFormatting sqref="D71:E71">
    <cfRule type="expression" dxfId="41" priority="232" stopIfTrue="1">
      <formula>IF(AND(OR($D$29="Yes",$D$29=""),OR($D$35="Yes",$D$35=""),D71=""),1,0)</formula>
    </cfRule>
  </conditionalFormatting>
  <conditionalFormatting sqref="D75:E75">
    <cfRule type="expression" dxfId="40" priority="16" stopIfTrue="1">
      <formula>AND(OR($D$26="No",AND($D$26="Yes",$D$32="No")),OR($D$27="No",AND($D$27="Yes",$D$33="No")),OR($D$28="No",AND($D$28="Yes",$D$34="No")),OR($D$29="No",AND($D$29="Yes",$D$35="No")))</formula>
    </cfRule>
    <cfRule type="expression" dxfId="39" priority="17" stopIfTrue="1">
      <formula>IF(D75="",TRUE)</formula>
    </cfRule>
  </conditionalFormatting>
  <conditionalFormatting sqref="D77:E77">
    <cfRule type="expression" dxfId="38" priority="14" stopIfTrue="1">
      <formula>AND(OR($D$26="No",AND($D$26="Yes",$D$32="No")),OR($D$27="No",AND($D$27="Yes",$D$33="No")),OR($D$28="No",AND($D$28="Yes",$D$34="No")),OR($D$29="No",AND($D$29="Yes",$D$35="No")))</formula>
    </cfRule>
    <cfRule type="expression" dxfId="37" priority="15" stopIfTrue="1">
      <formula>IF(D77="",TRUE)</formula>
    </cfRule>
  </conditionalFormatting>
  <conditionalFormatting sqref="D79:E79">
    <cfRule type="expression" dxfId="36" priority="12" stopIfTrue="1">
      <formula>AND(OR($D$26="No",AND($D$26="Yes",$D$32="No")),OR($D$27="No",AND($D$27="Yes",$D$33="No")),OR($D$28="No",AND($D$28="Yes",$D$34="No")),OR($D$29="No",AND($D$29="Yes",$D$35="No")))</formula>
    </cfRule>
    <cfRule type="expression" dxfId="35" priority="13" stopIfTrue="1">
      <formula>IF(D79="",TRUE)</formula>
    </cfRule>
  </conditionalFormatting>
  <conditionalFormatting sqref="D81:E81">
    <cfRule type="expression" dxfId="34" priority="10" stopIfTrue="1">
      <formula>AND(OR($D$26="No",AND($D$26="Yes",$D$32="No")),OR($D$27="No",AND($D$27="Yes",$D$33="No")),OR($D$28="No",AND($D$28="Yes",$D$34="No")),OR($D$29="No",AND($D$29="Yes",$D$35="No")))</formula>
    </cfRule>
    <cfRule type="expression" dxfId="33" priority="11" stopIfTrue="1">
      <formula>IF(D81="",TRUE)</formula>
    </cfRule>
  </conditionalFormatting>
  <conditionalFormatting sqref="D85:E85">
    <cfRule type="expression" dxfId="32" priority="6" stopIfTrue="1">
      <formula>AND(OR($D$26="No",AND($D$26="Yes",$D$32="No")),OR($D$27="No",AND($D$27="Yes",$D$33="No")),OR($D$28="No",AND($D$28="Yes",$D$34="No")),OR($D$29="No",AND($D$29="Yes",$D$35="No")))</formula>
    </cfRule>
    <cfRule type="expression" dxfId="31" priority="7" stopIfTrue="1">
      <formula>IF(D85="",TRUE)</formula>
    </cfRule>
  </conditionalFormatting>
  <conditionalFormatting sqref="D87:E87">
    <cfRule type="expression" dxfId="30" priority="4" stopIfTrue="1">
      <formula>AND(OR($D$26="No",AND($D$26="Yes",$D$32="No")),OR($D$27="No",AND($D$27="Yes",$D$33="No")),OR($D$28="No",AND($D$28="Yes",$D$34="No")),OR($D$29="No",AND($D$29="Yes",$D$35="No")))</formula>
    </cfRule>
    <cfRule type="expression" dxfId="29" priority="5" stopIfTrue="1">
      <formula>IF(D87="",TRUE)</formula>
    </cfRule>
  </conditionalFormatting>
  <conditionalFormatting sqref="D89:E89">
    <cfRule type="expression" dxfId="28" priority="2" stopIfTrue="1">
      <formula>AND(OR($D$26="No",AND($D$26="Yes",$D$32="No")),OR($D$27="No",AND($D$27="Yes",$D$33="No")),OR($D$28="No",AND($D$28="Yes",$D$34="No")),OR($D$29="No",AND($D$29="Yes",$D$35="No")))</formula>
    </cfRule>
    <cfRule type="expression" dxfId="27" priority="3" stopIfTrue="1">
      <formula>IF(D89="",TRUE)</formula>
    </cfRule>
  </conditionalFormatting>
  <conditionalFormatting sqref="D9:G9">
    <cfRule type="expression" dxfId="26" priority="220" stopIfTrue="1">
      <formula>IF($D$9="",TRUE)</formula>
    </cfRule>
  </conditionalFormatting>
  <conditionalFormatting sqref="D8:J8">
    <cfRule type="expression" dxfId="25" priority="68" stopIfTrue="1">
      <formula>IF($D$8="",TRUE)</formula>
    </cfRule>
  </conditionalFormatting>
  <conditionalFormatting sqref="D10:J10">
    <cfRule type="expression" dxfId="24" priority="124" stopIfTrue="1">
      <formula>IF($D$9=$Q$9,TRUE)</formula>
    </cfRule>
    <cfRule type="expression" dxfId="23" priority="234" stopIfTrue="1">
      <formula>IF(AND($D$10="",$D$9=$R$9),TRUE)</formula>
    </cfRule>
  </conditionalFormatting>
  <conditionalFormatting sqref="D15:J15">
    <cfRule type="expression" dxfId="22" priority="63" stopIfTrue="1">
      <formula>IF($D$18="",TRUE)</formula>
    </cfRule>
  </conditionalFormatting>
  <conditionalFormatting sqref="D16:J16">
    <cfRule type="expression" dxfId="21" priority="62" stopIfTrue="1">
      <formula>IF($D$20="",TRUE)</formula>
    </cfRule>
  </conditionalFormatting>
  <conditionalFormatting sqref="D17:J17">
    <cfRule type="expression" dxfId="20" priority="65" stopIfTrue="1">
      <formula>IF($D$17="",TRUE)</formula>
    </cfRule>
  </conditionalFormatting>
  <conditionalFormatting sqref="D18:J18">
    <cfRule type="expression" dxfId="19" priority="67" stopIfTrue="1">
      <formula>IF($D$18="",TRUE)</formula>
    </cfRule>
  </conditionalFormatting>
  <conditionalFormatting sqref="D20:J20">
    <cfRule type="expression" dxfId="18" priority="66" stopIfTrue="1">
      <formula>IF($D$20="",TRUE)</formula>
    </cfRule>
  </conditionalFormatting>
  <conditionalFormatting sqref="D21:J21">
    <cfRule type="expression" dxfId="17" priority="64" stopIfTrue="1">
      <formula>IF($D$17="",TRUE)</formula>
    </cfRule>
  </conditionalFormatting>
  <conditionalFormatting sqref="G77:J77">
    <cfRule type="expression" dxfId="16" priority="1" stopIfTrue="1">
      <formula>IF(AND($D$77="Yes",$G$77=""),TRUE)</formula>
    </cfRule>
  </conditionalFormatting>
  <conditionalFormatting sqref="G85:J85">
    <cfRule type="expression" dxfId="15" priority="115"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 ref="D16"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topLeftCell="A7" zoomScaleNormal="100" zoomScalePageLayoutView="55" workbookViewId="0">
      <selection activeCell="A11" sqref="A11"/>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1098</v>
      </c>
      <c r="C5" s="186" t="s">
        <v>15334</v>
      </c>
      <c r="D5" s="230" t="s">
        <v>15334</v>
      </c>
      <c r="E5" s="182" t="str">
        <f ca="1">IF(ISERROR($V5),"",OFFSET('Smelter Look-up'!$D$4,$V5-4,0)&amp;"")</f>
        <v>SWITZERLAND</v>
      </c>
      <c r="F5" s="182" t="str">
        <f ca="1">IF(ISERROR($V5),"",OFFSET('Smelter Look-up'!$E$4,$V5-4,0))</f>
        <v>CID001352</v>
      </c>
      <c r="G5" s="182" t="str">
        <f ca="1">IF(C5=$X$4,IF(ISERROR($V5),"Enter smelter details","RMI"),IF(ISERROR($V5),"",OFFSET('Smelter Look-up'!$F$4,$V5-4,0)))</f>
        <v>RMI</v>
      </c>
      <c r="H5" s="183" t="s">
        <v>15830</v>
      </c>
      <c r="I5" s="184" t="str">
        <f ca="1">IF(ISERROR($V5),"",OFFSET('Smelter Look-up'!$H$4,$V5-4,0))</f>
        <v>Geneva</v>
      </c>
      <c r="J5" s="184" t="str">
        <f ca="1">IF(ISERROR($V5),"",OFFSET('Smelter Look-up'!$I$4,$V5-4,0))</f>
        <v>Genève</v>
      </c>
      <c r="K5" s="294" t="s">
        <v>15838</v>
      </c>
      <c r="L5" s="294" t="s">
        <v>15839</v>
      </c>
      <c r="M5" s="294"/>
      <c r="N5" s="294" t="s">
        <v>15840</v>
      </c>
      <c r="O5" s="294" t="s">
        <v>1067</v>
      </c>
      <c r="P5" s="185" t="s">
        <v>476</v>
      </c>
      <c r="Q5" s="295" t="s">
        <v>15864</v>
      </c>
      <c r="R5" s="182" t="str">
        <f ca="1">IF(ISERROR($V5),"",OFFSET('Smelter Look-up'!$C$4,$V5-4,0)&amp;"")</f>
        <v>MKS PAMP SA</v>
      </c>
      <c r="S5" s="181" t="str">
        <f ca="1">IF(B5="","",IF(ISERROR(MATCH($E5,CL,0)),"Unknown",INDIRECT("'C'!$A$"&amp;MATCH($E5,CL,0)+1)))</f>
        <v>CH</v>
      </c>
      <c r="T5" s="181" t="str">
        <f ca="1">IF(B5="","",IF(ISERROR(MATCH($J5,SorP!$B$1:$B$6226,0)),"",INDIRECT("'SorP'!$A$"&amp;MATCH($S5&amp;$J5,SorP!C:C,0))))</f>
        <v>CH-GE</v>
      </c>
      <c r="U5" s="201"/>
      <c r="V5" s="226">
        <f>IF(C5="",NA(),IF(OR(C5="Smelter not listed",C5="Smelter not yet identified"),MATCH($B5&amp;$D5,'Smelter Look-up'!$J:$J,0),MATCH($B5&amp;$C5,'Smelter Look-up'!$J:$J,0)))</f>
        <v>192</v>
      </c>
      <c r="X5" s="227">
        <f t="shared" ref="X5" ca="1" si="0">IF(AND(C5="Smelter not listed",OR(LEN(D5)=0,LEN(E5)=0)),1,0)</f>
        <v>0</v>
      </c>
      <c r="AB5" s="228" t="str">
        <f t="shared" ref="AB5" si="1">B5&amp;C5</f>
        <v>GoldMKS PAMP SA</v>
      </c>
    </row>
    <row r="6" spans="1:34" s="227" customFormat="1" ht="20.100000000000001" customHeight="1">
      <c r="A6" s="262"/>
      <c r="B6" s="182" t="s">
        <v>1098</v>
      </c>
      <c r="C6" s="186" t="s">
        <v>2452</v>
      </c>
      <c r="D6" s="230" t="s">
        <v>15819</v>
      </c>
      <c r="E6" s="182" t="str">
        <f ca="1">IF(ISERROR($V6),"",OFFSET('Smelter Look-up'!$D$4,$V6-4,0)&amp;"")</f>
        <v>CHINA</v>
      </c>
      <c r="F6" s="182" t="str">
        <f ca="1">IF(ISERROR($V6),"",OFFSET('Smelter Look-up'!$E$4,$V6-4,0))</f>
        <v>CID000707</v>
      </c>
      <c r="G6" s="182" t="str">
        <f ca="1">IF(C6=$X$4,IF(ISERROR($V6),"Enter smelter details","RMI"),IF(ISERROR($V6),"",OFFSET('Smelter Look-up'!$F$4,$V6-4,0)))</f>
        <v>RMI</v>
      </c>
      <c r="H6" s="183" t="s">
        <v>15831</v>
      </c>
      <c r="I6" s="184" t="str">
        <f ca="1">IF(ISERROR($V6),"",OFFSET('Smelter Look-up'!$H$4,$V6-4,0))</f>
        <v>Fanling</v>
      </c>
      <c r="J6" s="184" t="str">
        <f ca="1">IF(ISERROR($V6),"",OFFSET('Smelter Look-up'!$I$4,$V6-4,0))</f>
        <v>Hong Kong SAR</v>
      </c>
      <c r="K6" s="294" t="s">
        <v>15841</v>
      </c>
      <c r="L6" s="294" t="s">
        <v>15842</v>
      </c>
      <c r="M6" s="294" t="s">
        <v>15843</v>
      </c>
      <c r="N6" s="294" t="s">
        <v>51</v>
      </c>
      <c r="O6" s="294" t="s">
        <v>1069</v>
      </c>
      <c r="P6" s="185" t="s">
        <v>476</v>
      </c>
      <c r="Q6" s="295" t="s">
        <v>15864</v>
      </c>
      <c r="R6" s="182" t="str">
        <f ca="1">IF(ISERROR($V6),"",OFFSET('Smelter Look-up'!$C$4,$V6-4,0)&amp;"")</f>
        <v>Heraeus Metals Hong Kong Ltd.</v>
      </c>
      <c r="S6" s="181" t="str">
        <f t="shared" ref="S6:S36"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110</v>
      </c>
      <c r="X6" s="227">
        <f t="shared" ref="X6:X36" ca="1" si="3">IF(AND(C6="Smelter not listed",OR(LEN(D6)=0,LEN(E6)=0)),1,0)</f>
        <v>0</v>
      </c>
      <c r="AB6" s="228" t="str">
        <f t="shared" ref="AB6:AB36" si="4">B6&amp;C6</f>
        <v>GoldHeraeus Metals Hong Kong Ltd.</v>
      </c>
    </row>
    <row r="7" spans="1:34" s="227" customFormat="1" ht="20.100000000000001" customHeight="1">
      <c r="A7" s="262"/>
      <c r="B7" s="182" t="s">
        <v>1098</v>
      </c>
      <c r="C7" s="186" t="s">
        <v>2278</v>
      </c>
      <c r="D7" s="230" t="s">
        <v>15820</v>
      </c>
      <c r="E7" s="182" t="str">
        <f ca="1">IF(ISERROR($V7),"",OFFSET('Smelter Look-up'!$D$4,$V7-4,0)&amp;"")</f>
        <v>JAPAN</v>
      </c>
      <c r="F7" s="182" t="str">
        <f ca="1">IF(ISERROR($V7),"",OFFSET('Smelter Look-up'!$E$4,$V7-4,0))</f>
        <v>CID001875</v>
      </c>
      <c r="G7" s="182" t="str">
        <f ca="1">IF(C7=$X$4,IF(ISERROR($V7),"Enter smelter details","RMI"),IF(ISERROR($V7),"",OFFSET('Smelter Look-up'!$F$4,$V7-4,0)))</f>
        <v>RMI</v>
      </c>
      <c r="H7" s="183" t="s">
        <v>15832</v>
      </c>
      <c r="I7" s="184" t="str">
        <f ca="1">IF(ISERROR($V7),"",OFFSET('Smelter Look-up'!$H$4,$V7-4,0))</f>
        <v>Hiratsuka</v>
      </c>
      <c r="J7" s="184" t="str">
        <f ca="1">IF(ISERROR($V7),"",OFFSET('Smelter Look-up'!$I$4,$V7-4,0))</f>
        <v>Kanagawa</v>
      </c>
      <c r="K7" s="294" t="s">
        <v>15844</v>
      </c>
      <c r="L7" s="294" t="s">
        <v>15845</v>
      </c>
      <c r="M7" s="294" t="s">
        <v>15846</v>
      </c>
      <c r="N7" s="294" t="s">
        <v>15847</v>
      </c>
      <c r="O7" s="294" t="s">
        <v>15865</v>
      </c>
      <c r="P7" s="185" t="s">
        <v>476</v>
      </c>
      <c r="Q7" s="225"/>
      <c r="R7" s="182" t="str">
        <f ca="1">IF(ISERROR($V7),"",OFFSET('Smelter Look-up'!$C$4,$V7-4,0)&amp;"")</f>
        <v>Tanaka Kikinzoku Kogyo K.K.</v>
      </c>
      <c r="S7" s="181" t="str">
        <f t="shared" ca="1" si="2"/>
        <v>JP</v>
      </c>
      <c r="T7" s="181" t="str">
        <f ca="1">IF(B7="","",IF(ISERROR(MATCH($J7,SorP!$B$1:$B$6226,0)),"",INDIRECT("'SorP'!$A$"&amp;MATCH($S7&amp;$J7,SorP!C:C,0))))</f>
        <v>JP-14</v>
      </c>
      <c r="U7" s="201"/>
      <c r="V7" s="226">
        <f>IF(C7="",NA(),IF(OR(C7="Smelter not listed",C7="Smelter not yet identified"),MATCH($B7&amp;$D7,'Smelter Look-up'!$J:$J,0),MATCH($B7&amp;$C7,'Smelter Look-up'!$J:$J,0)))</f>
        <v>286</v>
      </c>
      <c r="X7" s="227">
        <f t="shared" ca="1" si="3"/>
        <v>0</v>
      </c>
      <c r="AB7" s="228" t="str">
        <f t="shared" si="4"/>
        <v>GoldTanaka Kikinzoku Kogyo K.K</v>
      </c>
    </row>
    <row r="8" spans="1:34" s="227" customFormat="1" ht="20.100000000000001" customHeight="1">
      <c r="A8" s="262"/>
      <c r="B8" s="182" t="s">
        <v>1098</v>
      </c>
      <c r="C8" s="186" t="s">
        <v>2105</v>
      </c>
      <c r="D8" s="293" t="s">
        <v>15821</v>
      </c>
      <c r="E8" s="182" t="str">
        <f ca="1">IF(ISERROR($V8),"",OFFSET('Smelter Look-up'!$D$4,$V8-4,0)&amp;"")</f>
        <v>CHINA</v>
      </c>
      <c r="F8" s="182" t="str">
        <f ca="1">IF(ISERROR($V8),"",OFFSET('Smelter Look-up'!$E$4,$V8-4,0))</f>
        <v>CID001149</v>
      </c>
      <c r="G8" s="182" t="str">
        <f ca="1">IF(C8=$X$4,IF(ISERROR($V8),"Enter smelter details","RMI"),IF(ISERROR($V8),"",OFFSET('Smelter Look-up'!$F$4,$V8-4,0)))</f>
        <v>RMI</v>
      </c>
      <c r="H8" s="183"/>
      <c r="I8" s="184" t="str">
        <f ca="1">IF(ISERROR($V8),"",OFFSET('Smelter Look-up'!$H$4,$V8-4,0))</f>
        <v>Kwai Chung</v>
      </c>
      <c r="J8" s="184" t="str">
        <f ca="1">IF(ISERROR($V8),"",OFFSET('Smelter Look-up'!$I$4,$V8-4,0))</f>
        <v>Hong Kong SAR</v>
      </c>
      <c r="K8" s="294" t="s">
        <v>15848</v>
      </c>
      <c r="L8" s="294" t="s">
        <v>15849</v>
      </c>
      <c r="M8" s="294"/>
      <c r="N8" s="294"/>
      <c r="O8" s="224"/>
      <c r="P8" s="185"/>
      <c r="Q8" s="225"/>
      <c r="R8" s="182" t="str">
        <f ca="1">IF(ISERROR($V8),"",OFFSET('Smelter Look-up'!$C$4,$V8-4,0)&amp;"")</f>
        <v>Metalor Technologies (Hong Kong) Ltd.</v>
      </c>
      <c r="S8" s="181" t="str">
        <f t="shared" ca="1" si="2"/>
        <v>CN</v>
      </c>
      <c r="T8" s="181" t="str">
        <f ca="1">IF(B8="","",IF(ISERROR(MATCH($J8,SorP!$B$1:$B$6226,0)),"",INDIRECT("'SorP'!$A$"&amp;MATCH($S8&amp;$J8,SorP!C:C,0))))</f>
        <v>CN-HK</v>
      </c>
      <c r="U8" s="201"/>
      <c r="V8" s="226">
        <f>IF(C8="",NA(),IF(OR(C8="Smelter not listed",C8="Smelter not yet identified"),MATCH($B8&amp;$D8,'Smelter Look-up'!$J:$J,0),MATCH($B8&amp;$C8,'Smelter Look-up'!$J:$J,0)))</f>
        <v>178</v>
      </c>
      <c r="X8" s="227">
        <f t="shared" ca="1" si="3"/>
        <v>0</v>
      </c>
      <c r="AB8" s="228" t="str">
        <f t="shared" si="4"/>
        <v>GoldMetalor Technologies (Hong Kong) Ltd.</v>
      </c>
    </row>
    <row r="9" spans="1:34" s="227" customFormat="1" ht="20.100000000000001" customHeight="1">
      <c r="A9" s="262"/>
      <c r="B9" s="182" t="s">
        <v>1098</v>
      </c>
      <c r="C9" s="186" t="s">
        <v>14918</v>
      </c>
      <c r="D9" s="230" t="s">
        <v>15822</v>
      </c>
      <c r="E9" s="182" t="str">
        <f ca="1">IF(ISERROR($V9),"",OFFSET('Smelter Look-up'!$D$4,$V9-4,0)&amp;"")</f>
        <v>CHINA</v>
      </c>
      <c r="F9" s="182" t="str">
        <f ca="1">IF(ISERROR($V9),"",OFFSET('Smelter Look-up'!$E$4,$V9-4,0))</f>
        <v>CID001916</v>
      </c>
      <c r="G9" s="182" t="str">
        <f ca="1">IF(C9=$X$4,IF(ISERROR($V9),"Enter smelter details","RMI"),IF(ISERROR($V9),"",OFFSET('Smelter Look-up'!$F$4,$V9-4,0)))</f>
        <v>RMI</v>
      </c>
      <c r="H9" s="183">
        <v>0</v>
      </c>
      <c r="I9" s="184" t="str">
        <f ca="1">IF(ISERROR($V9),"",OFFSET('Smelter Look-up'!$H$4,$V9-4,0))</f>
        <v>Laizhou</v>
      </c>
      <c r="J9" s="184" t="str">
        <f ca="1">IF(ISERROR($V9),"",OFFSET('Smelter Look-up'!$I$4,$V9-4,0))</f>
        <v>Shandong Sheng</v>
      </c>
      <c r="K9" s="294"/>
      <c r="L9" s="294"/>
      <c r="M9" s="294"/>
      <c r="N9" s="294"/>
      <c r="O9" s="224"/>
      <c r="P9" s="185"/>
      <c r="Q9" s="225"/>
      <c r="R9" s="182" t="str">
        <f ca="1">IF(ISERROR($V9),"",OFFSET('Smelter Look-up'!$C$4,$V9-4,0)&amp;"")</f>
        <v>Shandong Gold Smelting Co., Ltd.</v>
      </c>
      <c r="S9" s="181" t="str">
        <f t="shared" ca="1" si="2"/>
        <v>CN</v>
      </c>
      <c r="T9" s="181" t="str">
        <f ca="1">IF(B9="","",IF(ISERROR(MATCH($J9,SorP!$B$1:$B$6226,0)),"",INDIRECT("'SorP'!$A$"&amp;MATCH($S9&amp;$J9,SorP!C:C,0))))</f>
        <v>CN-SD</v>
      </c>
      <c r="U9" s="201"/>
      <c r="V9" s="226">
        <f>IF(C9="",NA(),IF(OR(C9="Smelter not listed",C9="Smelter not yet identified"),MATCH($B9&amp;$D9,'Smelter Look-up'!$J:$J,0),MATCH($B9&amp;$C9,'Smelter Look-up'!$J:$J,0)))</f>
        <v>247</v>
      </c>
      <c r="X9" s="227">
        <f t="shared" ca="1" si="3"/>
        <v>0</v>
      </c>
      <c r="AB9" s="228" t="str">
        <f t="shared" si="4"/>
        <v>GoldShandong Gold Smelting Co., Ltd.</v>
      </c>
    </row>
    <row r="10" spans="1:34" s="227" customFormat="1" ht="20.100000000000001" customHeight="1">
      <c r="A10" s="262"/>
      <c r="B10" s="182" t="s">
        <v>1099</v>
      </c>
      <c r="C10" s="186" t="s">
        <v>13713</v>
      </c>
      <c r="D10" s="293" t="s">
        <v>15829</v>
      </c>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t="s">
        <v>15833</v>
      </c>
      <c r="I10" s="184" t="str">
        <f ca="1">IF(ISERROR($V10),"",OFFSET('Smelter Look-up'!$H$4,$V10-4,0))</f>
        <v>Mentok</v>
      </c>
      <c r="J10" s="184" t="str">
        <f ca="1">IF(ISERROR($V10),"",OFFSET('Smelter Look-up'!$I$4,$V10-4,0))</f>
        <v>Kepulauan Bangka Belitung</v>
      </c>
      <c r="K10" s="294" t="s">
        <v>15850</v>
      </c>
      <c r="L10" s="294" t="s">
        <v>15851</v>
      </c>
      <c r="M10" s="294" t="s">
        <v>15852</v>
      </c>
      <c r="N10" s="294" t="s">
        <v>15853</v>
      </c>
      <c r="O10" s="224" t="s">
        <v>15866</v>
      </c>
      <c r="P10" s="185" t="s">
        <v>476</v>
      </c>
      <c r="Q10" s="225" t="s">
        <v>15867</v>
      </c>
      <c r="R10" s="182" t="str">
        <f ca="1">IF(ISERROR($V10),"",OFFSET('Smelter Look-up'!$C$4,$V10-4,0)&amp;"")</f>
        <v>PT Timah Tbk Mentok</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510</v>
      </c>
      <c r="X10" s="227">
        <f t="shared" ca="1" si="3"/>
        <v>0</v>
      </c>
      <c r="AB10" s="228" t="str">
        <f t="shared" si="4"/>
        <v>TinPT Timah Tbk Mentok</v>
      </c>
    </row>
    <row r="11" spans="1:34" s="227" customFormat="1" ht="20.100000000000001" customHeight="1">
      <c r="A11" s="262"/>
      <c r="B11" s="182" t="s">
        <v>1099</v>
      </c>
      <c r="C11" s="186" t="s">
        <v>1293</v>
      </c>
      <c r="D11" s="230" t="s">
        <v>15823</v>
      </c>
      <c r="E11" s="182" t="str">
        <f ca="1">IF(ISERROR($V11),"",OFFSET('Smelter Look-up'!$D$4,$V11-4,0)&amp;"")</f>
        <v>CHINA</v>
      </c>
      <c r="F11" s="182" t="str">
        <f ca="1">IF(ISERROR($V11),"",OFFSET('Smelter Look-up'!$E$4,$V11-4,0))</f>
        <v>CID001070</v>
      </c>
      <c r="G11" s="182" t="str">
        <f ca="1">IF(C11=$X$4,IF(ISERROR($V11),"Enter smelter details","RMI"),IF(ISERROR($V11),"",OFFSET('Smelter Look-up'!$F$4,$V11-4,0)))</f>
        <v>RMI</v>
      </c>
      <c r="H11" s="183">
        <v>0</v>
      </c>
      <c r="I11" s="184" t="str">
        <f ca="1">IF(ISERROR($V11),"",OFFSET('Smelter Look-up'!$H$4,$V11-4,0))</f>
        <v>Laibin</v>
      </c>
      <c r="J11" s="184" t="str">
        <f ca="1">IF(ISERROR($V11),"",OFFSET('Smelter Look-up'!$I$4,$V11-4,0))</f>
        <v>Guangxi Zhuangzu Zizhiqu</v>
      </c>
      <c r="K11" s="294"/>
      <c r="L11" s="294"/>
      <c r="M11" s="294"/>
      <c r="N11" s="294"/>
      <c r="O11" s="224"/>
      <c r="P11" s="185"/>
      <c r="Q11" s="225"/>
      <c r="R11" s="182" t="str">
        <f ca="1">IF(ISERROR($V11),"",OFFSET('Smelter Look-up'!$C$4,$V11-4,0)&amp;"")</f>
        <v>China Tin Group Co., Ltd.</v>
      </c>
      <c r="S11" s="181" t="str">
        <f t="shared" ca="1" si="2"/>
        <v>CN</v>
      </c>
      <c r="T11" s="181" t="str">
        <f ca="1">IF(B11="","",IF(ISERROR(MATCH($J11,SorP!$B$1:$B$6226,0)),"",INDIRECT("'SorP'!$A$"&amp;MATCH($S11&amp;$J11,SorP!C:C,0))))</f>
        <v>CN-GX</v>
      </c>
      <c r="U11" s="201"/>
      <c r="V11" s="226">
        <f>IF(C11="",NA(),IF(OR(C11="Smelter not listed",C11="Smelter not yet identified"),MATCH($B11&amp;$D11,'Smelter Look-up'!$J:$J,0),MATCH($B11&amp;$C11,'Smelter Look-up'!$J:$J,0)))</f>
        <v>411</v>
      </c>
      <c r="X11" s="227">
        <f t="shared" ca="1" si="3"/>
        <v>0</v>
      </c>
      <c r="AB11" s="228" t="str">
        <f t="shared" si="4"/>
        <v>TinChina Tin Group Co., Ltd.</v>
      </c>
    </row>
    <row r="12" spans="1:34" s="227" customFormat="1" ht="20.100000000000001" customHeight="1">
      <c r="A12" s="262"/>
      <c r="B12" s="182" t="s">
        <v>1099</v>
      </c>
      <c r="C12" s="186" t="s">
        <v>2120</v>
      </c>
      <c r="D12" s="230" t="s">
        <v>15824</v>
      </c>
      <c r="E12" s="182" t="str">
        <f ca="1">IF(ISERROR($V12),"",OFFSET('Smelter Look-up'!$D$4,$V12-4,0)&amp;"")</f>
        <v>CHINA</v>
      </c>
      <c r="F12" s="182" t="str">
        <f ca="1">IF(ISERROR($V12),"",OFFSET('Smelter Look-up'!$E$4,$V12-4,0))</f>
        <v>CID002158</v>
      </c>
      <c r="G12" s="182" t="str">
        <f ca="1">IF(C12=$X$4,IF(ISERROR($V12),"Enter smelter details","RMI"),IF(ISERROR($V12),"",OFFSET('Smelter Look-up'!$F$4,$V12-4,0)))</f>
        <v>RMI</v>
      </c>
      <c r="H12" s="183" t="s">
        <v>15834</v>
      </c>
      <c r="I12" s="184" t="str">
        <f ca="1">IF(ISERROR($V12),"",OFFSET('Smelter Look-up'!$H$4,$V12-4,0))</f>
        <v>Gejiu</v>
      </c>
      <c r="J12" s="184" t="str">
        <f ca="1">IF(ISERROR($V12),"",OFFSET('Smelter Look-up'!$I$4,$V12-4,0))</f>
        <v>Yunnan Sheng</v>
      </c>
      <c r="K12" s="294" t="s">
        <v>15854</v>
      </c>
      <c r="L12" s="294" t="s">
        <v>15855</v>
      </c>
      <c r="M12" s="294"/>
      <c r="N12" s="294"/>
      <c r="O12" s="224"/>
      <c r="P12" s="185"/>
      <c r="Q12" s="225"/>
      <c r="R12" s="182" t="str">
        <f ca="1">IF(ISERROR($V12),"",OFFSET('Smelter Look-up'!$C$4,$V12-4,0)&amp;"")</f>
        <v>Yunnan Chengfeng Non-ferrous Metals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539</v>
      </c>
      <c r="X12" s="227">
        <f t="shared" ca="1" si="3"/>
        <v>0</v>
      </c>
      <c r="AB12" s="228" t="str">
        <f t="shared" si="4"/>
        <v>TinYunnan Chengfeng Non-ferrous Metals Co., Ltd.</v>
      </c>
    </row>
    <row r="13" spans="1:34" s="227" customFormat="1" ht="20.100000000000001" customHeight="1">
      <c r="A13" s="262"/>
      <c r="B13" s="182" t="s">
        <v>1099</v>
      </c>
      <c r="C13" s="186" t="s">
        <v>793</v>
      </c>
      <c r="D13" s="230" t="s">
        <v>15825</v>
      </c>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t="s">
        <v>15835</v>
      </c>
      <c r="I13" s="184" t="str">
        <f ca="1">IF(ISERROR($V13),"",OFFSET('Smelter Look-up'!$H$4,$V13-4,0))</f>
        <v>Butterworth</v>
      </c>
      <c r="J13" s="184" t="str">
        <f ca="1">IF(ISERROR($V13),"",OFFSET('Smelter Look-up'!$I$4,$V13-4,0))</f>
        <v>Pulau Pinang</v>
      </c>
      <c r="K13" s="294" t="s">
        <v>15856</v>
      </c>
      <c r="L13" s="294" t="s">
        <v>15857</v>
      </c>
      <c r="M13" s="294" t="s">
        <v>15852</v>
      </c>
      <c r="N13" s="294" t="s">
        <v>15858</v>
      </c>
      <c r="O13" s="224" t="s">
        <v>1084</v>
      </c>
      <c r="P13" s="185" t="s">
        <v>476</v>
      </c>
      <c r="Q13" s="295" t="s">
        <v>15867</v>
      </c>
      <c r="R13" s="182" t="str">
        <f ca="1">IF(ISERROR($V13),"",OFFSET('Smelter Look-up'!$C$4,$V13-4,0)&amp;"")</f>
        <v>Malaysia Smelting Corporation (MSC)</v>
      </c>
      <c r="S13" s="181" t="str">
        <f t="shared" ca="1" si="2"/>
        <v>MY</v>
      </c>
      <c r="T13" s="181" t="str">
        <f ca="1">IF(B13="","",IF(ISERROR(MATCH($J13,SorP!$B$1:$B$6226,0)),"",INDIRECT("'SorP'!$A$"&amp;MATCH($S13&amp;$J13,SorP!C:C,0))))</f>
        <v>MY-07</v>
      </c>
      <c r="U13" s="201"/>
      <c r="V13" s="226">
        <f>IF(C13="",NA(),IF(OR(C13="Smelter not listed",C13="Smelter not yet identified"),MATCH($B13&amp;$D13,'Smelter Look-up'!$J:$J,0),MATCH($B13&amp;$C13,'Smelter Look-up'!$J:$J,0)))</f>
        <v>468</v>
      </c>
      <c r="X13" s="227">
        <f t="shared" ca="1" si="3"/>
        <v>0</v>
      </c>
      <c r="AB13" s="228" t="str">
        <f t="shared" si="4"/>
        <v>TinMalaysia Smelting Corporation (MSC)</v>
      </c>
    </row>
    <row r="14" spans="1:34" s="227" customFormat="1" ht="20.100000000000001" customHeight="1">
      <c r="A14" s="262"/>
      <c r="B14" s="182" t="s">
        <v>1099</v>
      </c>
      <c r="C14" s="186" t="s">
        <v>2294</v>
      </c>
      <c r="D14" s="230" t="s">
        <v>15826</v>
      </c>
      <c r="E14" s="182" t="str">
        <f ca="1">IF(ISERROR($V14),"",OFFSET('Smelter Look-up'!$D$4,$V14-4,0)&amp;"")</f>
        <v>CHINA</v>
      </c>
      <c r="F14" s="182" t="str">
        <f ca="1">IF(ISERROR($V14),"",OFFSET('Smelter Look-up'!$E$4,$V14-4,0))</f>
        <v>CID002180</v>
      </c>
      <c r="G14" s="182" t="str">
        <f ca="1">IF(C14=$X$4,IF(ISERROR($V14),"Enter smelter details","RMI"),IF(ISERROR($V14),"",OFFSET('Smelter Look-up'!$F$4,$V14-4,0)))</f>
        <v>RMI</v>
      </c>
      <c r="H14" s="183" t="s">
        <v>15836</v>
      </c>
      <c r="I14" s="184" t="str">
        <f ca="1">IF(ISERROR($V14),"",OFFSET('Smelter Look-up'!$H$4,$V14-4,0))</f>
        <v>Gejiu</v>
      </c>
      <c r="J14" s="184" t="str">
        <f ca="1">IF(ISERROR($V14),"",OFFSET('Smelter Look-up'!$I$4,$V14-4,0))</f>
        <v>Yunnan Sheng</v>
      </c>
      <c r="K14" s="294" t="s">
        <v>15859</v>
      </c>
      <c r="L14" s="294" t="s">
        <v>15860</v>
      </c>
      <c r="M14" s="294" t="s">
        <v>15852</v>
      </c>
      <c r="N14" s="294" t="s">
        <v>15861</v>
      </c>
      <c r="O14" s="294" t="s">
        <v>1069</v>
      </c>
      <c r="P14" s="185" t="s">
        <v>476</v>
      </c>
      <c r="Q14" s="225" t="s">
        <v>15867</v>
      </c>
      <c r="R14" s="182" t="str">
        <f ca="1">IF(ISERROR($V14),"",OFFSET('Smelter Look-up'!$C$4,$V14-4,0)&amp;"")</f>
        <v>Tin Smelting Branch of Yunnan Tin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543</v>
      </c>
      <c r="X14" s="227">
        <f t="shared" ca="1" si="3"/>
        <v>0</v>
      </c>
      <c r="AB14" s="228" t="str">
        <f t="shared" si="4"/>
        <v>TinYunnan Tin Company Limited</v>
      </c>
    </row>
    <row r="15" spans="1:34" s="227" customFormat="1" ht="20.100000000000001" customHeight="1">
      <c r="A15" s="262"/>
      <c r="B15" s="182" t="s">
        <v>1099</v>
      </c>
      <c r="C15" s="186" t="s">
        <v>1003</v>
      </c>
      <c r="D15" s="230" t="s">
        <v>15827</v>
      </c>
      <c r="E15" s="182" t="str">
        <f ca="1">IF(ISERROR($V15),"",OFFSET('Smelter Look-up'!$D$4,$V15-4,0)&amp;"")</f>
        <v>PERU</v>
      </c>
      <c r="F15" s="182" t="str">
        <f ca="1">IF(ISERROR($V15),"",OFFSET('Smelter Look-up'!$E$4,$V15-4,0))</f>
        <v>CID001182</v>
      </c>
      <c r="G15" s="182" t="str">
        <f ca="1">IF(C15=$X$4,IF(ISERROR($V15),"Enter smelter details","RMI"),IF(ISERROR($V15),"",OFFSET('Smelter Look-up'!$F$4,$V15-4,0)))</f>
        <v>RMI</v>
      </c>
      <c r="H15" s="183" t="s">
        <v>15837</v>
      </c>
      <c r="I15" s="184" t="str">
        <f ca="1">IF(ISERROR($V15),"",OFFSET('Smelter Look-up'!$H$4,$V15-4,0))</f>
        <v>Paracas</v>
      </c>
      <c r="J15" s="184" t="str">
        <f ca="1">IF(ISERROR($V15),"",OFFSET('Smelter Look-up'!$I$4,$V15-4,0))</f>
        <v>Ika</v>
      </c>
      <c r="K15" s="294" t="s">
        <v>15862</v>
      </c>
      <c r="L15" s="294" t="s">
        <v>15863</v>
      </c>
      <c r="M15" s="294" t="s">
        <v>15852</v>
      </c>
      <c r="N15" s="294"/>
      <c r="O15" s="224" t="s">
        <v>15868</v>
      </c>
      <c r="P15" s="185" t="s">
        <v>476</v>
      </c>
      <c r="Q15" s="225" t="s">
        <v>15867</v>
      </c>
      <c r="R15" s="182" t="str">
        <f ca="1">IF(ISERROR($V15),"",OFFSET('Smelter Look-up'!$C$4,$V15-4,0)&amp;"")</f>
        <v>Minsur</v>
      </c>
      <c r="S15" s="181" t="str">
        <f t="shared" ca="1" si="2"/>
        <v>PE</v>
      </c>
      <c r="T15" s="181" t="str">
        <f ca="1">IF(B15="","",IF(ISERROR(MATCH($J15,SorP!$B$1:$B$6226,0)),"",INDIRECT("'SorP'!$A$"&amp;MATCH($S15&amp;$J15,SorP!C:C,0))))</f>
        <v>PE-ICA</v>
      </c>
      <c r="U15" s="201"/>
      <c r="V15" s="226">
        <f>IF(C15="",NA(),IF(OR(C15="Smelter not listed",C15="Smelter not yet identified"),MATCH($B15&amp;$D15,'Smelter Look-up'!$J:$J,0),MATCH($B15&amp;$C15,'Smelter Look-up'!$J:$J,0)))</f>
        <v>481</v>
      </c>
      <c r="X15" s="227">
        <f t="shared" ca="1" si="3"/>
        <v>0</v>
      </c>
      <c r="AB15" s="228" t="str">
        <f t="shared" si="4"/>
        <v>TinMinsur</v>
      </c>
    </row>
    <row r="16" spans="1:34" s="227" customFormat="1" ht="20.100000000000001" customHeight="1">
      <c r="A16" s="262"/>
      <c r="B16" s="182" t="s">
        <v>1099</v>
      </c>
      <c r="C16" s="186" t="s">
        <v>2182</v>
      </c>
      <c r="D16" s="230" t="s">
        <v>15828</v>
      </c>
      <c r="E16" s="182" t="str">
        <f ca="1">IF(ISERROR($V16),"",OFFSET('Smelter Look-up'!$D$4,$V16-4,0)&amp;"")</f>
        <v>BOLIVIA (PLURINATIONAL STATE OF)</v>
      </c>
      <c r="F16" s="182" t="str">
        <f ca="1">IF(ISERROR($V16),"",OFFSET('Smelter Look-up'!$E$4,$V16-4,0))</f>
        <v>CID000438</v>
      </c>
      <c r="G16" s="182" t="str">
        <f ca="1">IF(C16=$X$4,IF(ISERROR($V16),"Enter smelter details","RMI"),IF(ISERROR($V16),"",OFFSET('Smelter Look-up'!$F$4,$V16-4,0)))</f>
        <v>RMI</v>
      </c>
      <c r="H16" s="183">
        <v>0</v>
      </c>
      <c r="I16" s="184" t="str">
        <f ca="1">IF(ISERROR($V16),"",OFFSET('Smelter Look-up'!$H$4,$V16-4,0))</f>
        <v>Oruro</v>
      </c>
      <c r="J16" s="184" t="str">
        <f ca="1">IF(ISERROR($V16),"",OFFSET('Smelter Look-up'!$I$4,$V16-4,0))</f>
        <v>Oruro</v>
      </c>
      <c r="K16" s="294"/>
      <c r="L16" s="294"/>
      <c r="M16" s="294"/>
      <c r="N16" s="294"/>
      <c r="O16" s="224"/>
      <c r="P16" s="185"/>
      <c r="Q16" s="225"/>
      <c r="R16" s="182" t="str">
        <f ca="1">IF(ISERROR($V16),"",OFFSET('Smelter Look-up'!$C$4,$V16-4,0)&amp;"")</f>
        <v>EM Vinto</v>
      </c>
      <c r="S16" s="181" t="str">
        <f t="shared" ca="1" si="2"/>
        <v>BO</v>
      </c>
      <c r="T16" s="181" t="str">
        <f ca="1">IF(B16="","",IF(ISERROR(MATCH($J16,SorP!$B$1:$B$6226,0)),"",INDIRECT("'SorP'!$A$"&amp;MATCH($S16&amp;$J16,SorP!C:C,0))))</f>
        <v>BO-O</v>
      </c>
      <c r="U16" s="201"/>
      <c r="V16" s="226">
        <f>IF(C16="",NA(),IF(OR(C16="Smelter not listed",C16="Smelter not yet identified"),MATCH($B16&amp;$D16,'Smelter Look-up'!$J:$J,0),MATCH($B16&amp;$C16,'Smelter Look-up'!$J:$J,0)))</f>
        <v>429</v>
      </c>
      <c r="X16" s="227">
        <f t="shared" ca="1" si="3"/>
        <v>0</v>
      </c>
      <c r="AB16" s="228" t="str">
        <f t="shared" si="4"/>
        <v>TinEmpresa Metalúrgica Vinto</v>
      </c>
    </row>
    <row r="17" spans="1:28" s="227" customFormat="1" ht="20.100000000000001" customHeight="1">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399999999999999">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503">
    <cfRule type="expression" dxfId="14" priority="6" stopIfTrue="1">
      <formula>IF(B5="",TRUE)</formula>
    </cfRule>
    <cfRule type="expression" dxfId="13" priority="7" stopIfTrue="1">
      <formula>IF(AND(COUNTIF(MetalSmelter,B5&amp;C5)=0,LEN(C5)&gt;0),TRUE,FALSE)</formula>
    </cfRule>
  </conditionalFormatting>
  <conditionalFormatting sqref="C5:C2503">
    <cfRule type="expression" dxfId="12" priority="14" stopIfTrue="1">
      <formula>IF(AND(B5&lt;&gt;"",C5=""),TRUE)</formula>
    </cfRule>
  </conditionalFormatting>
  <conditionalFormatting sqref="D5:D2503">
    <cfRule type="expression" dxfId="11" priority="1" stopIfTrue="1">
      <formula>IF(AND(LEN($C5)&gt;0,AND($C5&lt;&gt;"Smelter Not Listed",ISBLANK($D5))),1,0)</formula>
    </cfRule>
  </conditionalFormatting>
  <conditionalFormatting sqref="D5:E2503 R5:R2503">
    <cfRule type="expression" dxfId="10" priority="2" stopIfTrue="1">
      <formula>IF(AND(D5="",$C5=$X$4),TRUE)</formula>
    </cfRule>
    <cfRule type="expression" dxfId="9" priority="3" stopIfTrue="1">
      <formula>IF(FIND("!",D5),TRUE)</formula>
    </cfRule>
  </conditionalFormatting>
  <conditionalFormatting sqref="F5:F2503">
    <cfRule type="expression" dxfId="8" priority="10" stopIfTrue="1">
      <formula>IF(AND(LEN($A5)&gt;0,$A5&lt;&gt;$F5),TRUE,FALSE)</formula>
    </cfRule>
  </conditionalFormatting>
  <conditionalFormatting sqref="G5:G2503">
    <cfRule type="expression" dxfId="7" priority="27" stopIfTrue="1">
      <formula>IF(FIND("Enter smelter details",G5),TRUE)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1"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9"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16" activePane="bottomRight" state="frozen"/>
      <selection activeCell="A4" sqref="A4"/>
      <selection pane="topRight" activeCell="A4" sqref="A4"/>
      <selection pane="bottomLeft" activeCell="A4" sqref="A4"/>
      <selection pane="bottomRight" activeCell="B73" sqref="B73"/>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ALLEN CREATIONS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Raven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allenkj.yeh@msa.hinet.net</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886-2-2827-6798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Allen Yeh</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allenkj.yeh@msa.hinet.net</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www.allenkj.com.tw</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C6" s="274" t="s">
        <v>15878</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tabSelected="1" zoomScaleNormal="100" zoomScalePageLayoutView="85" workbookViewId="0">
      <pane ySplit="4" topLeftCell="A5" activePane="bottomLeft" state="frozen"/>
      <selection activeCell="A4" sqref="A4"/>
      <selection pane="bottomLeft" activeCell="R18" sqref="R18:R19"/>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0">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a54701f6-876b-4337-a24e-543e1bd311e6"/>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6e8a5f3d-031c-4996-804e-0e28298fe1e2"/>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User</cp:lastModifiedBy>
  <cp:lastPrinted>2015-04-21T20:47:43Z</cp:lastPrinted>
  <dcterms:created xsi:type="dcterms:W3CDTF">2010-06-21T21:00:23Z</dcterms:created>
  <dcterms:modified xsi:type="dcterms:W3CDTF">2025-07-10T07:54:41Z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